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628" windowHeight="5988" firstSheet="1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 " sheetId="7" r:id="rId7"/>
    <sheet name="AGO" sheetId="8" r:id="rId8"/>
    <sheet name="SEPT" sheetId="9" r:id="rId9"/>
    <sheet name="OCT " sheetId="10" r:id="rId10"/>
    <sheet name="NOV" sheetId="11" r:id="rId11"/>
    <sheet name="DIC" sheetId="12" r:id="rId12"/>
    <sheet name="ACUM " sheetId="13" r:id="rId13"/>
  </sheets>
  <definedNames/>
  <calcPr fullCalcOnLoad="1"/>
</workbook>
</file>

<file path=xl/sharedStrings.xml><?xml version="1.0" encoding="utf-8"?>
<sst xmlns="http://schemas.openxmlformats.org/spreadsheetml/2006/main" count="793" uniqueCount="64">
  <si>
    <t>No.</t>
  </si>
  <si>
    <t>CONCEPTO</t>
  </si>
  <si>
    <t>AIR  FRANCE</t>
  </si>
  <si>
    <t>AEROPOSTAL</t>
  </si>
  <si>
    <t>AMERICAN</t>
  </si>
  <si>
    <t>AVIANCA</t>
  </si>
  <si>
    <t>COPA</t>
  </si>
  <si>
    <t>CONTINENTAL</t>
  </si>
  <si>
    <t>CUBANA</t>
  </si>
  <si>
    <t>DELTA</t>
  </si>
  <si>
    <t>IBERIA</t>
  </si>
  <si>
    <t>LAN CHILE</t>
  </si>
  <si>
    <t>LAN PERÚ</t>
  </si>
  <si>
    <t xml:space="preserve">LLOYD  AEREO </t>
  </si>
  <si>
    <t>MEXICANA DE AV.</t>
  </si>
  <si>
    <t>AIRES</t>
  </si>
  <si>
    <t>TAME</t>
  </si>
  <si>
    <t>LACSA</t>
  </si>
  <si>
    <t>TACA-PERU</t>
  </si>
  <si>
    <t>AIR CANADA</t>
  </si>
  <si>
    <t>AER. ARGENTINAS</t>
  </si>
  <si>
    <t>TOTAL</t>
  </si>
  <si>
    <t>VUELOS PROGRAMADOS</t>
  </si>
  <si>
    <t>VUELOS ADICIONALES</t>
  </si>
  <si>
    <t>CANCELADOS</t>
  </si>
  <si>
    <t>FALTA DE TRAFICO</t>
  </si>
  <si>
    <t>POR INCONTROLABLES</t>
  </si>
  <si>
    <t>POR DAÑOS TECNICOS</t>
  </si>
  <si>
    <t>POR OPERACIONALES</t>
  </si>
  <si>
    <t>TOTAL POR INCONTROLABLES Y TRAFICO</t>
  </si>
  <si>
    <t>TOTAL POR DAÑOS TECNICOS Y OPERACIONALES</t>
  </si>
  <si>
    <t>DEMORADOS</t>
  </si>
  <si>
    <t>POR FALTA DE TRAFICO</t>
  </si>
  <si>
    <t>No. VUELOS</t>
  </si>
  <si>
    <t>MINUTOS</t>
  </si>
  <si>
    <t xml:space="preserve"> </t>
  </si>
  <si>
    <t>TOTAL VUELOS DEMORADOS</t>
  </si>
  <si>
    <t>TOTAL DEMORAS EN MINUTOS</t>
  </si>
  <si>
    <t>TOTAL VUELOS</t>
  </si>
  <si>
    <t>VUELOS VENDIDOS</t>
  </si>
  <si>
    <t>VUELOS CUMPLIDOS</t>
  </si>
  <si>
    <t>CUMPLIMIENTO DE LA EMPRESA</t>
  </si>
  <si>
    <t>TIEMPO PROMEDIO POR DEMORA (EN MINUTOS)</t>
  </si>
  <si>
    <t>OPERACIÓN INTERNACIONAL</t>
  </si>
  <si>
    <t>ANALISIS DE CUMPLIMIENTO</t>
  </si>
  <si>
    <t>ENERO 2007</t>
  </si>
  <si>
    <t>SAM</t>
  </si>
  <si>
    <t>VRG Lineas Aereas</t>
  </si>
  <si>
    <t>AEROGAL</t>
  </si>
  <si>
    <t>AEROREPUBLICA</t>
  </si>
  <si>
    <t>AIR COMET</t>
  </si>
  <si>
    <t>FEBRERO 2007</t>
  </si>
  <si>
    <t>MARZO 2007</t>
  </si>
  <si>
    <t>ABRIL 2007</t>
  </si>
  <si>
    <t>DUTCH</t>
  </si>
  <si>
    <t>MAYO  2007</t>
  </si>
  <si>
    <t>JUNIO  2007</t>
  </si>
  <si>
    <t>Acumulado 2007</t>
  </si>
  <si>
    <t>JULIO  2007</t>
  </si>
  <si>
    <t>AGOSTO. 2007</t>
  </si>
  <si>
    <t>SEPTIEMBRE.  2007</t>
  </si>
  <si>
    <t>OCTUBRE.  2007</t>
  </si>
  <si>
    <t>NOVIEMBRE.  2007</t>
  </si>
  <si>
    <t>DICIEMBRE.  2007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</si>
</sst>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5">
    <font>
      <sz val="10"/>
      <name val="Arial"/>
      <family val="0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9.25"/>
      <name val="Arial"/>
      <family val="2"/>
    </font>
    <font>
      <b/>
      <sz val="19"/>
      <name val="Arial"/>
      <family val="0"/>
    </font>
    <font>
      <b/>
      <sz val="8.25"/>
      <name val="Arial"/>
      <family val="2"/>
    </font>
    <font>
      <sz val="18"/>
      <name val="Arial"/>
      <family val="0"/>
    </font>
    <font>
      <sz val="15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5" xfId="0" applyFont="1" applyBorder="1" applyAlignment="1" applyProtection="1">
      <alignment horizontal="center"/>
      <protection/>
    </xf>
    <xf numFmtId="3" fontId="1" fillId="0" borderId="6" xfId="0" applyNumberFormat="1" applyFont="1" applyBorder="1" applyAlignment="1" applyProtection="1">
      <alignment horizontal="right"/>
      <protection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 applyProtection="1">
      <alignment horizontal="right"/>
      <protection/>
    </xf>
    <xf numFmtId="3" fontId="1" fillId="0" borderId="8" xfId="0" applyNumberFormat="1" applyFont="1" applyBorder="1" applyAlignment="1" applyProtection="1">
      <alignment horizontal="right"/>
      <protection/>
    </xf>
    <xf numFmtId="3" fontId="1" fillId="0" borderId="9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right"/>
      <protection/>
    </xf>
    <xf numFmtId="3" fontId="1" fillId="0" borderId="11" xfId="0" applyNumberFormat="1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right"/>
      <protection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 applyProtection="1">
      <alignment horizontal="right"/>
      <protection/>
    </xf>
    <xf numFmtId="3" fontId="1" fillId="0" borderId="16" xfId="0" applyNumberFormat="1" applyFont="1" applyBorder="1" applyAlignment="1" applyProtection="1">
      <alignment horizontal="right"/>
      <protection/>
    </xf>
    <xf numFmtId="3" fontId="1" fillId="0" borderId="17" xfId="0" applyNumberFormat="1" applyFont="1" applyBorder="1" applyAlignment="1" applyProtection="1">
      <alignment horizontal="right"/>
      <protection/>
    </xf>
    <xf numFmtId="3" fontId="2" fillId="0" borderId="14" xfId="0" applyNumberFormat="1" applyFont="1" applyBorder="1" applyAlignment="1" applyProtection="1">
      <alignment horizontal="right"/>
      <protection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 applyProtection="1">
      <alignment horizontal="right"/>
      <protection/>
    </xf>
    <xf numFmtId="3" fontId="2" fillId="0" borderId="17" xfId="0" applyNumberFormat="1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/>
      <protection/>
    </xf>
    <xf numFmtId="3" fontId="1" fillId="0" borderId="18" xfId="0" applyNumberFormat="1" applyFont="1" applyBorder="1" applyAlignment="1" applyProtection="1">
      <alignment horizontal="right"/>
      <protection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/>
    </xf>
    <xf numFmtId="9" fontId="1" fillId="0" borderId="14" xfId="21" applyNumberFormat="1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center"/>
      <protection/>
    </xf>
    <xf numFmtId="3" fontId="1" fillId="0" borderId="19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 applyProtection="1" quotePrefix="1">
      <alignment horizontal="center" textRotation="90"/>
      <protection/>
    </xf>
    <xf numFmtId="3" fontId="1" fillId="0" borderId="15" xfId="0" applyNumberFormat="1" applyFont="1" applyBorder="1" applyAlignment="1">
      <alignment horizontal="right"/>
    </xf>
    <xf numFmtId="9" fontId="1" fillId="0" borderId="15" xfId="21" applyNumberFormat="1" applyFont="1" applyBorder="1" applyAlignment="1" applyProtection="1">
      <alignment horizontal="right"/>
      <protection/>
    </xf>
    <xf numFmtId="3" fontId="1" fillId="0" borderId="21" xfId="0" applyNumberFormat="1" applyFont="1" applyBorder="1" applyAlignment="1" applyProtection="1">
      <alignment horizontal="right"/>
      <protection/>
    </xf>
    <xf numFmtId="3" fontId="1" fillId="0" borderId="18" xfId="0" applyNumberFormat="1" applyFont="1" applyBorder="1" applyAlignment="1">
      <alignment horizontal="right"/>
    </xf>
    <xf numFmtId="9" fontId="1" fillId="0" borderId="18" xfId="21" applyNumberFormat="1" applyFont="1" applyBorder="1" applyAlignment="1" applyProtection="1">
      <alignment horizontal="right"/>
      <protection/>
    </xf>
    <xf numFmtId="3" fontId="1" fillId="0" borderId="22" xfId="0" applyNumberFormat="1" applyFont="1" applyBorder="1" applyAlignment="1" applyProtection="1">
      <alignment horizontal="right"/>
      <protection/>
    </xf>
    <xf numFmtId="3" fontId="8" fillId="0" borderId="23" xfId="0" applyNumberFormat="1" applyFont="1" applyBorder="1" applyAlignment="1" applyProtection="1">
      <alignment horizontal="right"/>
      <protection/>
    </xf>
    <xf numFmtId="3" fontId="8" fillId="0" borderId="24" xfId="0" applyNumberFormat="1" applyFont="1" applyBorder="1" applyAlignment="1" applyProtection="1">
      <alignment horizontal="right"/>
      <protection/>
    </xf>
    <xf numFmtId="3" fontId="8" fillId="0" borderId="10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" fillId="0" borderId="27" xfId="0" applyNumberFormat="1" applyFont="1" applyBorder="1" applyAlignment="1" applyProtection="1">
      <alignment horizontal="right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left"/>
      <protection/>
    </xf>
    <xf numFmtId="3" fontId="1" fillId="0" borderId="30" xfId="0" applyNumberFormat="1" applyFont="1" applyBorder="1" applyAlignment="1" applyProtection="1">
      <alignment horizontal="right"/>
      <protection/>
    </xf>
    <xf numFmtId="3" fontId="1" fillId="0" borderId="31" xfId="0" applyNumberFormat="1" applyFont="1" applyBorder="1" applyAlignment="1" applyProtection="1">
      <alignment horizontal="right"/>
      <protection/>
    </xf>
    <xf numFmtId="3" fontId="1" fillId="0" borderId="32" xfId="0" applyNumberFormat="1" applyFont="1" applyBorder="1" applyAlignment="1" applyProtection="1">
      <alignment horizontal="right"/>
      <protection/>
    </xf>
    <xf numFmtId="3" fontId="1" fillId="0" borderId="33" xfId="0" applyNumberFormat="1" applyFont="1" applyBorder="1" applyAlignment="1" applyProtection="1">
      <alignment horizontal="right"/>
      <protection/>
    </xf>
    <xf numFmtId="3" fontId="1" fillId="0" borderId="34" xfId="0" applyNumberFormat="1" applyFont="1" applyBorder="1" applyAlignment="1" applyProtection="1">
      <alignment horizontal="right"/>
      <protection/>
    </xf>
    <xf numFmtId="3" fontId="1" fillId="0" borderId="35" xfId="0" applyNumberFormat="1" applyFont="1" applyBorder="1" applyAlignment="1" applyProtection="1">
      <alignment horizontal="right"/>
      <protection/>
    </xf>
    <xf numFmtId="3" fontId="1" fillId="0" borderId="36" xfId="0" applyNumberFormat="1" applyFont="1" applyBorder="1" applyAlignment="1" applyProtection="1">
      <alignment horizontal="right"/>
      <protection/>
    </xf>
    <xf numFmtId="3" fontId="1" fillId="0" borderId="37" xfId="0" applyNumberFormat="1" applyFont="1" applyBorder="1" applyAlignment="1" applyProtection="1">
      <alignment horizontal="right"/>
      <protection/>
    </xf>
    <xf numFmtId="3" fontId="1" fillId="0" borderId="38" xfId="0" applyNumberFormat="1" applyFont="1" applyBorder="1" applyAlignment="1" applyProtection="1">
      <alignment horizontal="right"/>
      <protection/>
    </xf>
    <xf numFmtId="3" fontId="1" fillId="0" borderId="39" xfId="0" applyNumberFormat="1" applyFont="1" applyBorder="1" applyAlignment="1" applyProtection="1">
      <alignment horizontal="right"/>
      <protection/>
    </xf>
    <xf numFmtId="3" fontId="1" fillId="0" borderId="26" xfId="0" applyNumberFormat="1" applyFont="1" applyBorder="1" applyAlignment="1" applyProtection="1">
      <alignment horizontal="right"/>
      <protection/>
    </xf>
    <xf numFmtId="3" fontId="1" fillId="0" borderId="40" xfId="0" applyNumberFormat="1" applyFont="1" applyBorder="1" applyAlignment="1" applyProtection="1">
      <alignment horizontal="right"/>
      <protection/>
    </xf>
    <xf numFmtId="0" fontId="1" fillId="2" borderId="41" xfId="0" applyFont="1" applyFill="1" applyBorder="1" applyAlignment="1" applyProtection="1">
      <alignment horizontal="center"/>
      <protection/>
    </xf>
    <xf numFmtId="3" fontId="1" fillId="2" borderId="42" xfId="0" applyNumberFormat="1" applyFont="1" applyFill="1" applyBorder="1" applyAlignment="1" applyProtection="1">
      <alignment horizontal="right"/>
      <protection/>
    </xf>
    <xf numFmtId="3" fontId="1" fillId="2" borderId="43" xfId="0" applyNumberFormat="1" applyFont="1" applyFill="1" applyBorder="1" applyAlignment="1" applyProtection="1">
      <alignment horizontal="right"/>
      <protection/>
    </xf>
    <xf numFmtId="3" fontId="1" fillId="2" borderId="44" xfId="0" applyNumberFormat="1" applyFont="1" applyFill="1" applyBorder="1" applyAlignment="1" applyProtection="1">
      <alignment horizontal="right"/>
      <protection/>
    </xf>
    <xf numFmtId="0" fontId="1" fillId="2" borderId="45" xfId="0" applyFont="1" applyFill="1" applyBorder="1" applyAlignment="1" applyProtection="1">
      <alignment horizontal="center"/>
      <protection/>
    </xf>
    <xf numFmtId="0" fontId="1" fillId="2" borderId="46" xfId="0" applyFont="1" applyFill="1" applyBorder="1" applyAlignment="1" applyProtection="1">
      <alignment horizontal="center" textRotation="90"/>
      <protection/>
    </xf>
    <xf numFmtId="0" fontId="1" fillId="2" borderId="45" xfId="0" applyFont="1" applyFill="1" applyBorder="1" applyAlignment="1" applyProtection="1">
      <alignment horizontal="center" textRotation="90"/>
      <protection/>
    </xf>
    <xf numFmtId="0" fontId="1" fillId="2" borderId="47" xfId="0" applyFont="1" applyFill="1" applyBorder="1" applyAlignment="1" applyProtection="1">
      <alignment horizontal="center" textRotation="90"/>
      <protection/>
    </xf>
    <xf numFmtId="0" fontId="1" fillId="2" borderId="41" xfId="0" applyFont="1" applyFill="1" applyBorder="1" applyAlignment="1" applyProtection="1">
      <alignment horizontal="center" textRotation="90"/>
      <protection/>
    </xf>
    <xf numFmtId="0" fontId="1" fillId="2" borderId="48" xfId="0" applyFont="1" applyFill="1" applyBorder="1" applyAlignment="1" applyProtection="1">
      <alignment horizontal="center" textRotation="90"/>
      <protection/>
    </xf>
    <xf numFmtId="0" fontId="1" fillId="2" borderId="47" xfId="0" applyFont="1" applyFill="1" applyBorder="1" applyAlignment="1" applyProtection="1" quotePrefix="1">
      <alignment horizontal="center" textRotation="90"/>
      <protection/>
    </xf>
    <xf numFmtId="3" fontId="1" fillId="0" borderId="49" xfId="0" applyNumberFormat="1" applyFont="1" applyBorder="1" applyAlignment="1" applyProtection="1">
      <alignment horizontal="right"/>
      <protection/>
    </xf>
    <xf numFmtId="3" fontId="1" fillId="0" borderId="50" xfId="0" applyNumberFormat="1" applyFont="1" applyBorder="1" applyAlignment="1" applyProtection="1">
      <alignment horizontal="right"/>
      <protection/>
    </xf>
    <xf numFmtId="3" fontId="1" fillId="2" borderId="51" xfId="0" applyNumberFormat="1" applyFont="1" applyFill="1" applyBorder="1" applyAlignment="1">
      <alignment horizontal="right"/>
    </xf>
    <xf numFmtId="3" fontId="1" fillId="2" borderId="52" xfId="0" applyNumberFormat="1" applyFont="1" applyFill="1" applyBorder="1" applyAlignment="1">
      <alignment horizontal="right"/>
    </xf>
    <xf numFmtId="3" fontId="1" fillId="2" borderId="53" xfId="0" applyNumberFormat="1" applyFont="1" applyFill="1" applyBorder="1" applyAlignment="1">
      <alignment horizontal="right"/>
    </xf>
    <xf numFmtId="3" fontId="1" fillId="2" borderId="41" xfId="0" applyNumberFormat="1" applyFont="1" applyFill="1" applyBorder="1" applyAlignment="1">
      <alignment horizontal="right"/>
    </xf>
    <xf numFmtId="3" fontId="1" fillId="2" borderId="54" xfId="0" applyNumberFormat="1" applyFont="1" applyFill="1" applyBorder="1" applyAlignment="1">
      <alignment horizontal="right"/>
    </xf>
    <xf numFmtId="3" fontId="1" fillId="2" borderId="48" xfId="0" applyNumberFormat="1" applyFont="1" applyFill="1" applyBorder="1" applyAlignment="1">
      <alignment horizontal="right"/>
    </xf>
    <xf numFmtId="3" fontId="1" fillId="2" borderId="41" xfId="0" applyNumberFormat="1" applyFont="1" applyFill="1" applyBorder="1" applyAlignment="1" applyProtection="1">
      <alignment horizontal="right"/>
      <protection/>
    </xf>
    <xf numFmtId="3" fontId="1" fillId="2" borderId="54" xfId="0" applyNumberFormat="1" applyFont="1" applyFill="1" applyBorder="1" applyAlignment="1" applyProtection="1">
      <alignment horizontal="right"/>
      <protection/>
    </xf>
    <xf numFmtId="3" fontId="1" fillId="2" borderId="48" xfId="0" applyNumberFormat="1" applyFont="1" applyFill="1" applyBorder="1" applyAlignment="1" applyProtection="1">
      <alignment horizontal="right"/>
      <protection/>
    </xf>
    <xf numFmtId="3" fontId="1" fillId="0" borderId="28" xfId="0" applyNumberFormat="1" applyFont="1" applyBorder="1" applyAlignment="1" applyProtection="1">
      <alignment horizontal="right"/>
      <protection/>
    </xf>
    <xf numFmtId="3" fontId="1" fillId="0" borderId="55" xfId="0" applyNumberFormat="1" applyFont="1" applyBorder="1" applyAlignment="1" applyProtection="1">
      <alignment horizontal="right"/>
      <protection/>
    </xf>
    <xf numFmtId="3" fontId="1" fillId="0" borderId="56" xfId="0" applyNumberFormat="1" applyFont="1" applyBorder="1" applyAlignment="1" applyProtection="1">
      <alignment horizontal="right"/>
      <protection/>
    </xf>
    <xf numFmtId="0" fontId="1" fillId="3" borderId="51" xfId="0" applyFont="1" applyFill="1" applyBorder="1" applyAlignment="1" applyProtection="1">
      <alignment horizontal="center"/>
      <protection/>
    </xf>
    <xf numFmtId="3" fontId="1" fillId="3" borderId="51" xfId="0" applyNumberFormat="1" applyFont="1" applyFill="1" applyBorder="1" applyAlignment="1" applyProtection="1">
      <alignment horizontal="right"/>
      <protection/>
    </xf>
    <xf numFmtId="3" fontId="1" fillId="3" borderId="52" xfId="0" applyNumberFormat="1" applyFont="1" applyFill="1" applyBorder="1" applyAlignment="1" applyProtection="1">
      <alignment horizontal="right"/>
      <protection/>
    </xf>
    <xf numFmtId="3" fontId="1" fillId="3" borderId="53" xfId="0" applyNumberFormat="1" applyFont="1" applyFill="1" applyBorder="1" applyAlignment="1" applyProtection="1">
      <alignment horizontal="right"/>
      <protection/>
    </xf>
    <xf numFmtId="3" fontId="1" fillId="3" borderId="57" xfId="0" applyNumberFormat="1" applyFont="1" applyFill="1" applyBorder="1" applyAlignment="1" applyProtection="1">
      <alignment horizontal="right"/>
      <protection/>
    </xf>
    <xf numFmtId="0" fontId="1" fillId="3" borderId="41" xfId="0" applyFont="1" applyFill="1" applyBorder="1" applyAlignment="1" applyProtection="1">
      <alignment horizontal="center"/>
      <protection/>
    </xf>
    <xf numFmtId="9" fontId="1" fillId="3" borderId="41" xfId="21" applyNumberFormat="1" applyFont="1" applyFill="1" applyBorder="1" applyAlignment="1" applyProtection="1">
      <alignment horizontal="right"/>
      <protection/>
    </xf>
    <xf numFmtId="9" fontId="1" fillId="3" borderId="54" xfId="21" applyNumberFormat="1" applyFont="1" applyFill="1" applyBorder="1" applyAlignment="1" applyProtection="1">
      <alignment horizontal="right"/>
      <protection/>
    </xf>
    <xf numFmtId="9" fontId="1" fillId="3" borderId="48" xfId="21" applyNumberFormat="1" applyFont="1" applyFill="1" applyBorder="1" applyAlignment="1" applyProtection="1">
      <alignment horizontal="right"/>
      <protection/>
    </xf>
    <xf numFmtId="9" fontId="1" fillId="3" borderId="58" xfId="21" applyNumberFormat="1" applyFont="1" applyFill="1" applyBorder="1" applyAlignment="1" applyProtection="1">
      <alignment horizontal="right"/>
      <protection/>
    </xf>
    <xf numFmtId="0" fontId="1" fillId="3" borderId="45" xfId="0" applyFont="1" applyFill="1" applyBorder="1" applyAlignment="1" applyProtection="1">
      <alignment horizontal="center" textRotation="90"/>
      <protection/>
    </xf>
    <xf numFmtId="3" fontId="1" fillId="3" borderId="59" xfId="0" applyNumberFormat="1" applyFont="1" applyFill="1" applyBorder="1" applyAlignment="1" applyProtection="1">
      <alignment horizontal="right"/>
      <protection/>
    </xf>
    <xf numFmtId="3" fontId="1" fillId="3" borderId="60" xfId="0" applyNumberFormat="1" applyFont="1" applyFill="1" applyBorder="1" applyAlignment="1" applyProtection="1">
      <alignment horizontal="right"/>
      <protection/>
    </xf>
    <xf numFmtId="3" fontId="1" fillId="3" borderId="58" xfId="0" applyNumberFormat="1" applyFont="1" applyFill="1" applyBorder="1" applyAlignment="1" applyProtection="1">
      <alignment horizontal="right"/>
      <protection/>
    </xf>
    <xf numFmtId="3" fontId="1" fillId="3" borderId="61" xfId="0" applyNumberFormat="1" applyFont="1" applyFill="1" applyBorder="1" applyAlignment="1" applyProtection="1">
      <alignment horizontal="right"/>
      <protection/>
    </xf>
    <xf numFmtId="3" fontId="1" fillId="3" borderId="62" xfId="0" applyNumberFormat="1" applyFont="1" applyFill="1" applyBorder="1" applyAlignment="1" applyProtection="1">
      <alignment horizontal="right"/>
      <protection/>
    </xf>
    <xf numFmtId="3" fontId="1" fillId="3" borderId="63" xfId="0" applyNumberFormat="1" applyFont="1" applyFill="1" applyBorder="1" applyAlignment="1" applyProtection="1">
      <alignment horizontal="right"/>
      <protection/>
    </xf>
    <xf numFmtId="3" fontId="1" fillId="3" borderId="45" xfId="0" applyNumberFormat="1" applyFont="1" applyFill="1" applyBorder="1" applyAlignment="1" applyProtection="1">
      <alignment horizontal="right"/>
      <protection/>
    </xf>
    <xf numFmtId="3" fontId="1" fillId="3" borderId="63" xfId="0" applyNumberFormat="1" applyFont="1" applyFill="1" applyBorder="1" applyAlignment="1">
      <alignment horizontal="right"/>
    </xf>
    <xf numFmtId="3" fontId="1" fillId="3" borderId="45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2" borderId="54" xfId="0" applyFont="1" applyFill="1" applyBorder="1" applyAlignment="1" applyProtection="1">
      <alignment horizontal="center" textRotation="90"/>
      <protection/>
    </xf>
    <xf numFmtId="0" fontId="1" fillId="2" borderId="54" xfId="0" applyFont="1" applyFill="1" applyBorder="1" applyAlignment="1" applyProtection="1" quotePrefix="1">
      <alignment horizontal="center" textRotation="90"/>
      <protection/>
    </xf>
    <xf numFmtId="0" fontId="1" fillId="2" borderId="64" xfId="0" applyFont="1" applyFill="1" applyBorder="1" applyAlignment="1" applyProtection="1">
      <alignment horizontal="center" textRotation="90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1" fillId="0" borderId="29" xfId="0" applyNumberFormat="1" applyFont="1" applyBorder="1" applyAlignment="1" applyProtection="1">
      <alignment horizontal="right"/>
      <protection/>
    </xf>
    <xf numFmtId="3" fontId="1" fillId="3" borderId="65" xfId="0" applyNumberFormat="1" applyFont="1" applyFill="1" applyBorder="1" applyAlignment="1" applyProtection="1">
      <alignment horizontal="right"/>
      <protection/>
    </xf>
    <xf numFmtId="9" fontId="1" fillId="3" borderId="64" xfId="21" applyNumberFormat="1" applyFont="1" applyFill="1" applyBorder="1" applyAlignment="1" applyProtection="1">
      <alignment horizontal="right"/>
      <protection/>
    </xf>
    <xf numFmtId="9" fontId="1" fillId="3" borderId="45" xfId="21" applyNumberFormat="1" applyFont="1" applyFill="1" applyBorder="1" applyAlignment="1" applyProtection="1">
      <alignment horizontal="right"/>
      <protection/>
    </xf>
    <xf numFmtId="3" fontId="1" fillId="0" borderId="25" xfId="0" applyNumberFormat="1" applyFont="1" applyBorder="1" applyAlignment="1" applyProtection="1">
      <alignment horizontal="right"/>
      <protection/>
    </xf>
    <xf numFmtId="3" fontId="2" fillId="0" borderId="25" xfId="0" applyNumberFormat="1" applyFont="1" applyBorder="1" applyAlignment="1" applyProtection="1">
      <alignment horizontal="right"/>
      <protection/>
    </xf>
    <xf numFmtId="3" fontId="1" fillId="0" borderId="25" xfId="0" applyNumberFormat="1" applyFont="1" applyBorder="1" applyAlignment="1">
      <alignment horizontal="right"/>
    </xf>
    <xf numFmtId="3" fontId="1" fillId="3" borderId="66" xfId="0" applyNumberFormat="1" applyFont="1" applyFill="1" applyBorder="1" applyAlignment="1" applyProtection="1">
      <alignment horizontal="right"/>
      <protection/>
    </xf>
    <xf numFmtId="3" fontId="1" fillId="3" borderId="67" xfId="0" applyNumberFormat="1" applyFont="1" applyFill="1" applyBorder="1" applyAlignment="1" applyProtection="1">
      <alignment horizontal="right"/>
      <protection/>
    </xf>
    <xf numFmtId="3" fontId="1" fillId="3" borderId="67" xfId="0" applyNumberFormat="1" applyFont="1" applyFill="1" applyBorder="1" applyAlignment="1">
      <alignment horizontal="right"/>
    </xf>
    <xf numFmtId="3" fontId="1" fillId="3" borderId="68" xfId="0" applyNumberFormat="1" applyFont="1" applyFill="1" applyBorder="1" applyAlignment="1" applyProtection="1">
      <alignment horizontal="right"/>
      <protection/>
    </xf>
    <xf numFmtId="0" fontId="1" fillId="0" borderId="69" xfId="0" applyFont="1" applyBorder="1" applyAlignment="1" applyProtection="1">
      <alignment horizontal="left"/>
      <protection/>
    </xf>
    <xf numFmtId="3" fontId="1" fillId="0" borderId="70" xfId="0" applyNumberFormat="1" applyFont="1" applyBorder="1" applyAlignment="1" applyProtection="1">
      <alignment horizontal="right"/>
      <protection/>
    </xf>
    <xf numFmtId="3" fontId="1" fillId="0" borderId="71" xfId="0" applyNumberFormat="1" applyFont="1" applyBorder="1" applyAlignment="1" applyProtection="1">
      <alignment horizontal="right"/>
      <protection/>
    </xf>
    <xf numFmtId="3" fontId="2" fillId="0" borderId="71" xfId="0" applyNumberFormat="1" applyFont="1" applyBorder="1" applyAlignment="1" applyProtection="1">
      <alignment horizontal="right"/>
      <protection/>
    </xf>
    <xf numFmtId="3" fontId="1" fillId="0" borderId="71" xfId="0" applyNumberFormat="1" applyFont="1" applyBorder="1" applyAlignment="1">
      <alignment horizontal="right"/>
    </xf>
    <xf numFmtId="3" fontId="1" fillId="0" borderId="72" xfId="0" applyNumberFormat="1" applyFont="1" applyBorder="1" applyAlignment="1" applyProtection="1">
      <alignment horizontal="right"/>
      <protection/>
    </xf>
    <xf numFmtId="3" fontId="2" fillId="0" borderId="72" xfId="0" applyNumberFormat="1" applyFont="1" applyBorder="1" applyAlignment="1" applyProtection="1">
      <alignment horizontal="right"/>
      <protection/>
    </xf>
    <xf numFmtId="3" fontId="1" fillId="0" borderId="72" xfId="0" applyNumberFormat="1" applyFont="1" applyBorder="1" applyAlignment="1">
      <alignment horizontal="right"/>
    </xf>
    <xf numFmtId="0" fontId="1" fillId="0" borderId="66" xfId="0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 applyProtection="1">
      <alignment horizontal="center"/>
      <protection/>
    </xf>
    <xf numFmtId="0" fontId="1" fillId="3" borderId="45" xfId="0" applyFont="1" applyFill="1" applyBorder="1" applyAlignment="1" applyProtection="1">
      <alignment horizontal="center"/>
      <protection/>
    </xf>
    <xf numFmtId="0" fontId="1" fillId="3" borderId="63" xfId="0" applyFont="1" applyFill="1" applyBorder="1" applyAlignment="1" applyProtection="1">
      <alignment horizontal="center"/>
      <protection/>
    </xf>
    <xf numFmtId="3" fontId="1" fillId="0" borderId="73" xfId="0" applyNumberFormat="1" applyFont="1" applyBorder="1" applyAlignment="1" applyProtection="1">
      <alignment horizontal="right"/>
      <protection/>
    </xf>
    <xf numFmtId="3" fontId="1" fillId="0" borderId="69" xfId="0" applyNumberFormat="1" applyFont="1" applyBorder="1" applyAlignment="1" applyProtection="1">
      <alignment horizontal="right"/>
      <protection/>
    </xf>
    <xf numFmtId="3" fontId="2" fillId="0" borderId="69" xfId="0" applyNumberFormat="1" applyFont="1" applyBorder="1" applyAlignment="1" applyProtection="1">
      <alignment horizontal="right"/>
      <protection/>
    </xf>
    <xf numFmtId="3" fontId="1" fillId="0" borderId="69" xfId="0" applyNumberFormat="1" applyFont="1" applyBorder="1" applyAlignment="1">
      <alignment horizontal="right"/>
    </xf>
    <xf numFmtId="3" fontId="2" fillId="0" borderId="16" xfId="0" applyNumberFormat="1" applyFont="1" applyBorder="1" applyAlignment="1" applyProtection="1">
      <alignment horizontal="right"/>
      <protection/>
    </xf>
    <xf numFmtId="3" fontId="1" fillId="0" borderId="16" xfId="0" applyNumberFormat="1" applyFont="1" applyBorder="1" applyAlignment="1">
      <alignment horizontal="right"/>
    </xf>
    <xf numFmtId="0" fontId="1" fillId="0" borderId="74" xfId="0" applyFont="1" applyBorder="1" applyAlignment="1" applyProtection="1">
      <alignment horizontal="center"/>
      <protection/>
    </xf>
    <xf numFmtId="0" fontId="1" fillId="0" borderId="75" xfId="0" applyFont="1" applyBorder="1" applyAlignment="1">
      <alignment horizontal="center"/>
    </xf>
    <xf numFmtId="0" fontId="1" fillId="0" borderId="75" xfId="0" applyFont="1" applyBorder="1" applyAlignment="1" applyProtection="1">
      <alignment horizontal="center"/>
      <protection/>
    </xf>
    <xf numFmtId="0" fontId="1" fillId="0" borderId="76" xfId="0" applyFont="1" applyBorder="1" applyAlignment="1">
      <alignment horizontal="center"/>
    </xf>
    <xf numFmtId="0" fontId="1" fillId="2" borderId="46" xfId="0" applyFont="1" applyFill="1" applyBorder="1" applyAlignment="1" applyProtection="1">
      <alignment horizontal="center"/>
      <protection/>
    </xf>
    <xf numFmtId="0" fontId="1" fillId="2" borderId="77" xfId="0" applyFont="1" applyFill="1" applyBorder="1" applyAlignment="1" applyProtection="1">
      <alignment horizontal="center"/>
      <protection/>
    </xf>
    <xf numFmtId="0" fontId="1" fillId="0" borderId="73" xfId="0" applyFont="1" applyBorder="1" applyAlignment="1" applyProtection="1">
      <alignment horizontal="left"/>
      <protection/>
    </xf>
    <xf numFmtId="0" fontId="1" fillId="0" borderId="69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76" xfId="0" applyFont="1" applyBorder="1" applyAlignment="1" applyProtection="1">
      <alignment horizont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left"/>
      <protection/>
    </xf>
    <xf numFmtId="0" fontId="1" fillId="0" borderId="79" xfId="0" applyFont="1" applyBorder="1" applyAlignment="1" applyProtection="1">
      <alignment horizontal="left"/>
      <protection/>
    </xf>
    <xf numFmtId="3" fontId="1" fillId="0" borderId="78" xfId="0" applyNumberFormat="1" applyFont="1" applyBorder="1" applyAlignment="1" applyProtection="1">
      <alignment horizontal="right"/>
      <protection/>
    </xf>
    <xf numFmtId="0" fontId="1" fillId="3" borderId="46" xfId="0" applyFont="1" applyFill="1" applyBorder="1" applyAlignment="1" applyProtection="1">
      <alignment horizontal="center"/>
      <protection/>
    </xf>
    <xf numFmtId="9" fontId="1" fillId="3" borderId="80" xfId="21" applyNumberFormat="1" applyFont="1" applyFill="1" applyBorder="1" applyAlignment="1" applyProtection="1">
      <alignment horizontal="right"/>
      <protection/>
    </xf>
    <xf numFmtId="0" fontId="1" fillId="2" borderId="80" xfId="0" applyFont="1" applyFill="1" applyBorder="1" applyAlignment="1" applyProtection="1">
      <alignment horizontal="center" textRotation="90"/>
      <protection/>
    </xf>
    <xf numFmtId="3" fontId="1" fillId="0" borderId="81" xfId="0" applyNumberFormat="1" applyFont="1" applyBorder="1" applyAlignment="1" applyProtection="1">
      <alignment horizontal="right"/>
      <protection/>
    </xf>
    <xf numFmtId="3" fontId="1" fillId="0" borderId="82" xfId="0" applyNumberFormat="1" applyFont="1" applyBorder="1" applyAlignment="1" applyProtection="1">
      <alignment horizontal="right"/>
      <protection/>
    </xf>
    <xf numFmtId="3" fontId="2" fillId="0" borderId="82" xfId="0" applyNumberFormat="1" applyFont="1" applyBorder="1" applyAlignment="1" applyProtection="1">
      <alignment horizontal="right"/>
      <protection/>
    </xf>
    <xf numFmtId="3" fontId="1" fillId="0" borderId="82" xfId="0" applyNumberFormat="1" applyFont="1" applyBorder="1" applyAlignment="1">
      <alignment horizontal="right"/>
    </xf>
    <xf numFmtId="3" fontId="1" fillId="0" borderId="83" xfId="0" applyNumberFormat="1" applyFont="1" applyBorder="1" applyAlignment="1" applyProtection="1">
      <alignment horizontal="right"/>
      <protection/>
    </xf>
    <xf numFmtId="3" fontId="1" fillId="3" borderId="80" xfId="0" applyNumberFormat="1" applyFont="1" applyFill="1" applyBorder="1" applyAlignment="1" applyProtection="1">
      <alignment horizontal="right"/>
      <protection/>
    </xf>
    <xf numFmtId="3" fontId="1" fillId="3" borderId="54" xfId="0" applyNumberFormat="1" applyFont="1" applyFill="1" applyBorder="1" applyAlignment="1" applyProtection="1">
      <alignment horizontal="right"/>
      <protection/>
    </xf>
    <xf numFmtId="3" fontId="1" fillId="3" borderId="64" xfId="0" applyNumberFormat="1" applyFont="1" applyFill="1" applyBorder="1" applyAlignment="1" applyProtection="1">
      <alignment horizontal="right"/>
      <protection/>
    </xf>
    <xf numFmtId="0" fontId="1" fillId="0" borderId="46" xfId="0" applyFont="1" applyBorder="1" applyAlignment="1" applyProtection="1">
      <alignment horizontal="center"/>
      <protection/>
    </xf>
    <xf numFmtId="9" fontId="1" fillId="0" borderId="80" xfId="21" applyNumberFormat="1" applyFont="1" applyBorder="1" applyAlignment="1" applyProtection="1">
      <alignment horizontal="right"/>
      <protection/>
    </xf>
    <xf numFmtId="9" fontId="1" fillId="0" borderId="54" xfId="21" applyNumberFormat="1" applyFont="1" applyBorder="1" applyAlignment="1" applyProtection="1">
      <alignment horizontal="right"/>
      <protection/>
    </xf>
    <xf numFmtId="9" fontId="1" fillId="0" borderId="64" xfId="21" applyNumberFormat="1" applyFont="1" applyBorder="1" applyAlignment="1" applyProtection="1">
      <alignment horizontal="right"/>
      <protection/>
    </xf>
    <xf numFmtId="3" fontId="1" fillId="0" borderId="80" xfId="0" applyNumberFormat="1" applyFont="1" applyBorder="1" applyAlignment="1" applyProtection="1">
      <alignment horizontal="right"/>
      <protection/>
    </xf>
    <xf numFmtId="3" fontId="1" fillId="0" borderId="54" xfId="0" applyNumberFormat="1" applyFont="1" applyBorder="1" applyAlignment="1" applyProtection="1">
      <alignment horizontal="right"/>
      <protection/>
    </xf>
    <xf numFmtId="3" fontId="1" fillId="0" borderId="64" xfId="0" applyNumberFormat="1" applyFont="1" applyBorder="1" applyAlignment="1" applyProtection="1">
      <alignment horizontal="right"/>
      <protection/>
    </xf>
    <xf numFmtId="9" fontId="1" fillId="0" borderId="69" xfId="21" applyNumberFormat="1" applyFont="1" applyBorder="1" applyAlignment="1" applyProtection="1">
      <alignment horizontal="right"/>
      <protection/>
    </xf>
    <xf numFmtId="3" fontId="1" fillId="0" borderId="84" xfId="0" applyNumberFormat="1" applyFont="1" applyBorder="1" applyAlignment="1" applyProtection="1">
      <alignment horizontal="right"/>
      <protection/>
    </xf>
    <xf numFmtId="0" fontId="1" fillId="0" borderId="85" xfId="0" applyFont="1" applyBorder="1" applyAlignment="1" applyProtection="1">
      <alignment horizontal="center" textRotation="90"/>
      <protection/>
    </xf>
    <xf numFmtId="9" fontId="1" fillId="0" borderId="16" xfId="21" applyNumberFormat="1" applyFont="1" applyBorder="1" applyAlignment="1" applyProtection="1">
      <alignment horizontal="right"/>
      <protection/>
    </xf>
    <xf numFmtId="3" fontId="1" fillId="0" borderId="86" xfId="0" applyNumberFormat="1" applyFont="1" applyBorder="1" applyAlignment="1" applyProtection="1">
      <alignment horizontal="right"/>
      <protection/>
    </xf>
    <xf numFmtId="3" fontId="1" fillId="0" borderId="87" xfId="0" applyNumberFormat="1" applyFont="1" applyBorder="1" applyAlignment="1" applyProtection="1">
      <alignment horizontal="right"/>
      <protection/>
    </xf>
    <xf numFmtId="9" fontId="1" fillId="0" borderId="71" xfId="21" applyNumberFormat="1" applyFont="1" applyBorder="1" applyAlignment="1" applyProtection="1">
      <alignment horizontal="right"/>
      <protection/>
    </xf>
    <xf numFmtId="3" fontId="1" fillId="4" borderId="6" xfId="0" applyNumberFormat="1" applyFont="1" applyFill="1" applyBorder="1" applyAlignment="1" applyProtection="1">
      <alignment horizontal="right"/>
      <protection/>
    </xf>
    <xf numFmtId="3" fontId="1" fillId="4" borderId="6" xfId="0" applyNumberFormat="1" applyFont="1" applyFill="1" applyBorder="1" applyAlignment="1">
      <alignment horizontal="right"/>
    </xf>
    <xf numFmtId="3" fontId="1" fillId="4" borderId="14" xfId="0" applyNumberFormat="1" applyFont="1" applyFill="1" applyBorder="1" applyAlignment="1" applyProtection="1">
      <alignment horizontal="right"/>
      <protection/>
    </xf>
    <xf numFmtId="3" fontId="1" fillId="4" borderId="14" xfId="0" applyNumberFormat="1" applyFont="1" applyFill="1" applyBorder="1" applyAlignment="1">
      <alignment horizontal="right"/>
    </xf>
    <xf numFmtId="3" fontId="2" fillId="4" borderId="14" xfId="0" applyNumberFormat="1" applyFont="1" applyFill="1" applyBorder="1" applyAlignment="1" applyProtection="1">
      <alignment horizontal="right"/>
      <protection/>
    </xf>
    <xf numFmtId="3" fontId="2" fillId="4" borderId="14" xfId="0" applyNumberFormat="1" applyFont="1" applyFill="1" applyBorder="1" applyAlignment="1">
      <alignment horizontal="right"/>
    </xf>
    <xf numFmtId="9" fontId="1" fillId="4" borderId="14" xfId="21" applyNumberFormat="1" applyFont="1" applyFill="1" applyBorder="1" applyAlignment="1" applyProtection="1">
      <alignment horizontal="right"/>
      <protection/>
    </xf>
    <xf numFmtId="3" fontId="1" fillId="4" borderId="19" xfId="0" applyNumberFormat="1" applyFont="1" applyFill="1" applyBorder="1" applyAlignment="1" applyProtection="1">
      <alignment horizontal="right"/>
      <protection/>
    </xf>
    <xf numFmtId="3" fontId="1" fillId="4" borderId="10" xfId="0" applyNumberFormat="1" applyFont="1" applyFill="1" applyBorder="1" applyAlignment="1" applyProtection="1">
      <alignment horizontal="right"/>
      <protection/>
    </xf>
    <xf numFmtId="3" fontId="1" fillId="4" borderId="10" xfId="0" applyNumberFormat="1" applyFont="1" applyFill="1" applyBorder="1" applyAlignment="1">
      <alignment horizontal="right"/>
    </xf>
    <xf numFmtId="3" fontId="1" fillId="4" borderId="55" xfId="0" applyNumberFormat="1" applyFont="1" applyFill="1" applyBorder="1" applyAlignment="1" applyProtection="1">
      <alignment horizontal="right"/>
      <protection/>
    </xf>
    <xf numFmtId="9" fontId="1" fillId="4" borderId="54" xfId="21" applyNumberFormat="1" applyFont="1" applyFill="1" applyBorder="1" applyAlignment="1" applyProtection="1">
      <alignment horizontal="right"/>
      <protection/>
    </xf>
    <xf numFmtId="3" fontId="1" fillId="4" borderId="54" xfId="0" applyNumberFormat="1" applyFont="1" applyFill="1" applyBorder="1" applyAlignment="1" applyProtection="1">
      <alignment horizontal="right"/>
      <protection/>
    </xf>
    <xf numFmtId="0" fontId="1" fillId="0" borderId="88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9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69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90" xfId="0" applyFont="1" applyBorder="1" applyAlignment="1" applyProtection="1">
      <alignment horizontal="center" vertical="center"/>
      <protection/>
    </xf>
    <xf numFmtId="0" fontId="1" fillId="0" borderId="91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 textRotation="90"/>
      <protection/>
    </xf>
    <xf numFmtId="0" fontId="1" fillId="0" borderId="27" xfId="0" applyFont="1" applyBorder="1" applyAlignment="1" applyProtection="1">
      <alignment horizontal="center" vertical="center" textRotation="90"/>
      <protection/>
    </xf>
    <xf numFmtId="0" fontId="1" fillId="0" borderId="10" xfId="0" applyFont="1" applyBorder="1" applyAlignment="1" applyProtection="1">
      <alignment horizontal="center" vertical="center" textRotation="90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92" xfId="0" applyFont="1" applyBorder="1" applyAlignment="1" applyProtection="1">
      <alignment horizontal="left"/>
      <protection/>
    </xf>
    <xf numFmtId="0" fontId="1" fillId="0" borderId="84" xfId="0" applyFont="1" applyBorder="1" applyAlignment="1" applyProtection="1">
      <alignment horizontal="left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/>
      <protection/>
    </xf>
    <xf numFmtId="0" fontId="1" fillId="0" borderId="93" xfId="0" applyFont="1" applyBorder="1" applyAlignment="1" applyProtection="1">
      <alignment horizontal="left"/>
      <protection/>
    </xf>
    <xf numFmtId="0" fontId="1" fillId="3" borderId="64" xfId="0" applyFont="1" applyFill="1" applyBorder="1" applyAlignment="1" applyProtection="1">
      <alignment horizontal="left"/>
      <protection/>
    </xf>
    <xf numFmtId="0" fontId="1" fillId="3" borderId="47" xfId="0" applyFont="1" applyFill="1" applyBorder="1" applyAlignment="1" applyProtection="1">
      <alignment horizontal="left"/>
      <protection/>
    </xf>
    <xf numFmtId="0" fontId="1" fillId="3" borderId="65" xfId="0" applyFont="1" applyFill="1" applyBorder="1" applyAlignment="1" applyProtection="1">
      <alignment horizontal="left"/>
      <protection/>
    </xf>
    <xf numFmtId="0" fontId="1" fillId="3" borderId="94" xfId="0" applyFont="1" applyFill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2" borderId="64" xfId="0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 applyProtection="1">
      <alignment horizontal="center" vertical="center" textRotation="90"/>
      <protection/>
    </xf>
    <xf numFmtId="0" fontId="1" fillId="0" borderId="95" xfId="0" applyFont="1" applyBorder="1" applyAlignment="1" applyProtection="1">
      <alignment horizontal="center" vertical="center" textRotation="90"/>
      <protection/>
    </xf>
    <xf numFmtId="0" fontId="1" fillId="0" borderId="73" xfId="0" applyFont="1" applyBorder="1" applyAlignment="1" applyProtection="1">
      <alignment horizontal="center" vertical="center" textRotation="90"/>
      <protection/>
    </xf>
    <xf numFmtId="0" fontId="1" fillId="0" borderId="96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17" fontId="3" fillId="0" borderId="0" xfId="0" applyNumberFormat="1" applyFont="1" applyAlignment="1">
      <alignment horizontal="left"/>
    </xf>
    <xf numFmtId="0" fontId="1" fillId="2" borderId="58" xfId="0" applyFont="1" applyFill="1" applyBorder="1" applyAlignment="1" applyProtection="1">
      <alignment horizontal="center" vertical="center"/>
      <protection/>
    </xf>
    <xf numFmtId="0" fontId="1" fillId="0" borderId="76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/>
      <protection/>
    </xf>
    <xf numFmtId="0" fontId="1" fillId="3" borderId="46" xfId="0" applyFont="1" applyFill="1" applyBorder="1" applyAlignment="1" applyProtection="1">
      <alignment horizontal="left"/>
      <protection/>
    </xf>
    <xf numFmtId="0" fontId="1" fillId="3" borderId="58" xfId="0" applyFont="1" applyFill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 vertical="center" textRotation="90"/>
      <protection/>
    </xf>
    <xf numFmtId="0" fontId="1" fillId="0" borderId="49" xfId="0" applyFont="1" applyBorder="1" applyAlignment="1" applyProtection="1">
      <alignment horizontal="center" vertical="center" textRotation="90"/>
      <protection/>
    </xf>
    <xf numFmtId="0" fontId="1" fillId="0" borderId="26" xfId="0" applyFont="1" applyBorder="1" applyAlignment="1" applyProtection="1">
      <alignment horizontal="center" vertical="center" textRotation="90"/>
      <protection/>
    </xf>
    <xf numFmtId="0" fontId="1" fillId="0" borderId="61" xfId="0" applyFont="1" applyBorder="1" applyAlignment="1" applyProtection="1">
      <alignment horizontal="left"/>
      <protection/>
    </xf>
    <xf numFmtId="0" fontId="1" fillId="0" borderId="75" xfId="0" applyFont="1" applyBorder="1" applyAlignment="1" applyProtection="1">
      <alignment horizontal="left"/>
      <protection/>
    </xf>
    <xf numFmtId="0" fontId="1" fillId="0" borderId="74" xfId="0" applyFont="1" applyBorder="1" applyAlignment="1" applyProtection="1">
      <alignment horizontal="left"/>
      <protection/>
    </xf>
    <xf numFmtId="0" fontId="1" fillId="0" borderId="59" xfId="0" applyFont="1" applyBorder="1" applyAlignment="1" applyProtection="1">
      <alignment horizontal="left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left"/>
      <protection/>
    </xf>
    <xf numFmtId="0" fontId="1" fillId="0" borderId="47" xfId="0" applyFont="1" applyBorder="1" applyAlignment="1" applyProtection="1">
      <alignment horizontal="left"/>
      <protection/>
    </xf>
    <xf numFmtId="0" fontId="1" fillId="0" borderId="58" xfId="0" applyFont="1" applyBorder="1" applyAlignment="1" applyProtection="1">
      <alignment horizontal="left"/>
      <protection/>
    </xf>
    <xf numFmtId="0" fontId="1" fillId="0" borderId="97" xfId="0" applyFont="1" applyBorder="1" applyAlignment="1" applyProtection="1">
      <alignment horizontal="center" vertical="center" textRotation="90"/>
      <protection/>
    </xf>
    <xf numFmtId="0" fontId="1" fillId="0" borderId="98" xfId="0" applyFont="1" applyBorder="1" applyAlignment="1" applyProtection="1">
      <alignment horizontal="center" vertical="center" textRotation="90"/>
      <protection/>
    </xf>
    <xf numFmtId="0" fontId="1" fillId="0" borderId="63" xfId="0" applyFont="1" applyBorder="1" applyAlignment="1" applyProtection="1">
      <alignment horizontal="center" vertical="center" textRotation="90"/>
      <protection/>
    </xf>
    <xf numFmtId="0" fontId="1" fillId="2" borderId="46" xfId="0" applyFont="1" applyFill="1" applyBorder="1" applyAlignment="1" applyProtection="1">
      <alignment horizontal="left"/>
      <protection/>
    </xf>
    <xf numFmtId="0" fontId="1" fillId="2" borderId="47" xfId="0" applyFont="1" applyFill="1" applyBorder="1" applyAlignment="1" applyProtection="1">
      <alignment horizontal="left"/>
      <protection/>
    </xf>
    <xf numFmtId="0" fontId="1" fillId="2" borderId="58" xfId="0" applyFont="1" applyFill="1" applyBorder="1" applyAlignment="1" applyProtection="1">
      <alignment horizontal="left"/>
      <protection/>
    </xf>
    <xf numFmtId="0" fontId="1" fillId="2" borderId="97" xfId="0" applyFont="1" applyFill="1" applyBorder="1" applyAlignment="1" applyProtection="1">
      <alignment horizontal="center" vertical="center" textRotation="90"/>
      <protection/>
    </xf>
    <xf numFmtId="0" fontId="1" fillId="2" borderId="98" xfId="0" applyFont="1" applyFill="1" applyBorder="1" applyAlignment="1" applyProtection="1">
      <alignment horizontal="center" vertical="center" textRotation="90"/>
      <protection/>
    </xf>
    <xf numFmtId="0" fontId="1" fillId="2" borderId="63" xfId="0" applyFont="1" applyFill="1" applyBorder="1" applyAlignment="1" applyProtection="1">
      <alignment horizontal="center" vertical="center" textRotation="90"/>
      <protection/>
    </xf>
    <xf numFmtId="0" fontId="1" fillId="2" borderId="94" xfId="0" applyFont="1" applyFill="1" applyBorder="1" applyAlignment="1" applyProtection="1">
      <alignment horizontal="left"/>
      <protection/>
    </xf>
    <xf numFmtId="0" fontId="1" fillId="2" borderId="57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TRANSPORTE REGULAR DE PASAJEROS AÉREOS</a:t>
            </a:r>
            <a:r>
              <a:rPr lang="en-US" cap="none" sz="1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CUMPLIMIENTO INTERNACIONAL POR EMPRESA - 2007</a:t>
            </a:r>
          </a:p>
        </c:rich>
      </c:tx>
      <c:layout>
        <c:manualLayout>
          <c:xMode val="factor"/>
          <c:yMode val="factor"/>
          <c:x val="0.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991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'ACUM '!$E$4:$AC$4</c:f>
              <c:strCache/>
            </c:strRef>
          </c:cat>
          <c:val>
            <c:numRef>
              <c:f>'ACUM '!$E$26:$AC$26</c:f>
              <c:numCache/>
            </c:numRef>
          </c:val>
        </c:ser>
        <c:axId val="25161768"/>
        <c:axId val="25129321"/>
      </c:barChart>
      <c:catAx>
        <c:axId val="25161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129321"/>
        <c:crosses val="autoZero"/>
        <c:auto val="1"/>
        <c:lblOffset val="100"/>
        <c:noMultiLvlLbl val="0"/>
      </c:catAx>
      <c:valAx>
        <c:axId val="2512932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5161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16</xdr:col>
      <xdr:colOff>0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0" y="6048375"/>
        <a:ext cx="90201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S4" sqref="S1:S16384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29.8515625" style="0" customWidth="1"/>
    <col min="4" max="4" width="10.57421875" style="0" customWidth="1"/>
    <col min="5" max="6" width="5.28125" style="0" bestFit="1" customWidth="1"/>
    <col min="7" max="7" width="6.00390625" style="0" bestFit="1" customWidth="1"/>
    <col min="8" max="8" width="5.28125" style="0" bestFit="1" customWidth="1"/>
    <col min="9" max="9" width="6.28125" style="0" bestFit="1" customWidth="1"/>
    <col min="10" max="11" width="5.28125" style="0" bestFit="1" customWidth="1"/>
    <col min="12" max="14" width="6.00390625" style="0" bestFit="1" customWidth="1"/>
    <col min="15" max="16" width="5.28125" style="0" bestFit="1" customWidth="1"/>
    <col min="17" max="17" width="6.28125" style="0" bestFit="1" customWidth="1"/>
    <col min="18" max="18" width="5.28125" style="0" bestFit="1" customWidth="1"/>
    <col min="19" max="19" width="3.7109375" style="0" hidden="1" customWidth="1"/>
    <col min="20" max="20" width="5.28125" style="0" bestFit="1" customWidth="1"/>
    <col min="21" max="21" width="6.00390625" style="0" bestFit="1" customWidth="1"/>
    <col min="22" max="23" width="5.28125" style="0" bestFit="1" customWidth="1"/>
    <col min="24" max="24" width="6.00390625" style="0" bestFit="1" customWidth="1"/>
    <col min="25" max="29" width="5.28125" style="0" bestFit="1" customWidth="1"/>
    <col min="30" max="30" width="7.00390625" style="0" bestFit="1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3" t="s">
        <v>45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 thickTop="1">
      <c r="A4" s="1" t="s">
        <v>0</v>
      </c>
      <c r="B4" s="204" t="s">
        <v>1</v>
      </c>
      <c r="C4" s="205"/>
      <c r="D4" s="206"/>
      <c r="E4" s="2" t="s">
        <v>20</v>
      </c>
      <c r="F4" s="2" t="s">
        <v>48</v>
      </c>
      <c r="G4" s="2" t="s">
        <v>3</v>
      </c>
      <c r="H4" s="2" t="s">
        <v>49</v>
      </c>
      <c r="I4" s="2" t="s">
        <v>2</v>
      </c>
      <c r="J4" s="2" t="s">
        <v>19</v>
      </c>
      <c r="K4" s="32" t="s">
        <v>50</v>
      </c>
      <c r="L4" s="2" t="s">
        <v>15</v>
      </c>
      <c r="M4" s="2" t="s">
        <v>4</v>
      </c>
      <c r="N4" s="2" t="s">
        <v>5</v>
      </c>
      <c r="O4" s="2" t="s">
        <v>7</v>
      </c>
      <c r="P4" s="2" t="s">
        <v>6</v>
      </c>
      <c r="Q4" s="3" t="s">
        <v>8</v>
      </c>
      <c r="R4" s="3" t="s">
        <v>9</v>
      </c>
      <c r="S4" s="3" t="s">
        <v>54</v>
      </c>
      <c r="T4" s="2" t="s">
        <v>10</v>
      </c>
      <c r="U4" s="2" t="s">
        <v>17</v>
      </c>
      <c r="V4" s="3" t="s">
        <v>11</v>
      </c>
      <c r="W4" s="3" t="s">
        <v>12</v>
      </c>
      <c r="X4" s="3" t="s">
        <v>13</v>
      </c>
      <c r="Y4" s="3" t="s">
        <v>14</v>
      </c>
      <c r="Z4" s="3" t="s">
        <v>46</v>
      </c>
      <c r="AA4" s="3" t="s">
        <v>18</v>
      </c>
      <c r="AB4" s="3" t="s">
        <v>16</v>
      </c>
      <c r="AC4" s="3" t="s">
        <v>47</v>
      </c>
      <c r="AD4" s="4" t="s">
        <v>21</v>
      </c>
    </row>
    <row r="5" spans="1:30" ht="14.25" thickTop="1">
      <c r="A5" s="5">
        <v>1</v>
      </c>
      <c r="B5" s="196" t="s">
        <v>22</v>
      </c>
      <c r="C5" s="197"/>
      <c r="D5" s="195"/>
      <c r="E5" s="6">
        <v>19</v>
      </c>
      <c r="F5" s="6">
        <v>67</v>
      </c>
      <c r="G5" s="7">
        <v>114</v>
      </c>
      <c r="H5" s="39">
        <v>122</v>
      </c>
      <c r="I5" s="6">
        <v>31</v>
      </c>
      <c r="J5" s="6">
        <v>13</v>
      </c>
      <c r="K5" s="6">
        <v>13</v>
      </c>
      <c r="L5" s="39">
        <v>228</v>
      </c>
      <c r="M5" s="6">
        <v>124</v>
      </c>
      <c r="N5" s="6">
        <v>853</v>
      </c>
      <c r="O5" s="6">
        <v>79</v>
      </c>
      <c r="P5" s="6">
        <v>217</v>
      </c>
      <c r="Q5" s="6">
        <v>4</v>
      </c>
      <c r="R5" s="6">
        <v>31</v>
      </c>
      <c r="S5" s="8"/>
      <c r="T5" s="8">
        <v>31</v>
      </c>
      <c r="U5" s="10">
        <v>31</v>
      </c>
      <c r="V5" s="11">
        <v>25</v>
      </c>
      <c r="W5" s="10">
        <v>31</v>
      </c>
      <c r="X5" s="11">
        <v>13</v>
      </c>
      <c r="Y5" s="11">
        <v>31</v>
      </c>
      <c r="Z5" s="11">
        <v>80</v>
      </c>
      <c r="AA5" s="11">
        <v>39</v>
      </c>
      <c r="AB5" s="11">
        <v>14</v>
      </c>
      <c r="AC5" s="12">
        <v>31</v>
      </c>
      <c r="AD5" s="13">
        <f>SUM(E5:AC5)</f>
        <v>2241</v>
      </c>
    </row>
    <row r="6" spans="1:30" ht="13.5">
      <c r="A6" s="14">
        <v>2</v>
      </c>
      <c r="B6" s="198" t="s">
        <v>23</v>
      </c>
      <c r="C6" s="200"/>
      <c r="D6" s="199"/>
      <c r="E6" s="15"/>
      <c r="F6" s="15">
        <v>1</v>
      </c>
      <c r="G6" s="16"/>
      <c r="H6" s="16"/>
      <c r="I6" s="15"/>
      <c r="J6" s="15"/>
      <c r="K6" s="15"/>
      <c r="L6" s="40">
        <v>6</v>
      </c>
      <c r="M6" s="15"/>
      <c r="N6" s="15">
        <v>1</v>
      </c>
      <c r="O6" s="15"/>
      <c r="P6" s="15"/>
      <c r="Q6" s="15"/>
      <c r="R6" s="15"/>
      <c r="S6" s="17"/>
      <c r="T6" s="17"/>
      <c r="U6" s="19">
        <v>2</v>
      </c>
      <c r="V6" s="15">
        <v>5</v>
      </c>
      <c r="W6" s="19"/>
      <c r="X6" s="15"/>
      <c r="Y6" s="15"/>
      <c r="Z6" s="15"/>
      <c r="AA6" s="15"/>
      <c r="AB6" s="15"/>
      <c r="AC6" s="17"/>
      <c r="AD6" s="13">
        <f>SUM(E6:AC6)</f>
        <v>15</v>
      </c>
    </row>
    <row r="7" spans="1:30" ht="13.5">
      <c r="A7" s="14">
        <v>15</v>
      </c>
      <c r="B7" s="198" t="s">
        <v>38</v>
      </c>
      <c r="C7" s="200"/>
      <c r="D7" s="199"/>
      <c r="E7" s="15">
        <f>SUM(E5:E6)</f>
        <v>19</v>
      </c>
      <c r="F7" s="15">
        <f aca="true" t="shared" si="0" ref="F7:AD7">SUM(F5:F6)</f>
        <v>68</v>
      </c>
      <c r="G7" s="15">
        <f t="shared" si="0"/>
        <v>114</v>
      </c>
      <c r="H7" s="15">
        <f t="shared" si="0"/>
        <v>122</v>
      </c>
      <c r="I7" s="15">
        <f t="shared" si="0"/>
        <v>31</v>
      </c>
      <c r="J7" s="15">
        <f t="shared" si="0"/>
        <v>13</v>
      </c>
      <c r="K7" s="15">
        <f t="shared" si="0"/>
        <v>13</v>
      </c>
      <c r="L7" s="15">
        <f t="shared" si="0"/>
        <v>234</v>
      </c>
      <c r="M7" s="15">
        <f t="shared" si="0"/>
        <v>124</v>
      </c>
      <c r="N7" s="15">
        <f t="shared" si="0"/>
        <v>854</v>
      </c>
      <c r="O7" s="15">
        <f t="shared" si="0"/>
        <v>79</v>
      </c>
      <c r="P7" s="15">
        <f t="shared" si="0"/>
        <v>217</v>
      </c>
      <c r="Q7" s="15">
        <f t="shared" si="0"/>
        <v>4</v>
      </c>
      <c r="R7" s="15">
        <f t="shared" si="0"/>
        <v>31</v>
      </c>
      <c r="S7" s="15"/>
      <c r="T7" s="15">
        <f t="shared" si="0"/>
        <v>31</v>
      </c>
      <c r="U7" s="15">
        <f t="shared" si="0"/>
        <v>33</v>
      </c>
      <c r="V7" s="15">
        <f t="shared" si="0"/>
        <v>30</v>
      </c>
      <c r="W7" s="15">
        <f t="shared" si="0"/>
        <v>31</v>
      </c>
      <c r="X7" s="15">
        <f t="shared" si="0"/>
        <v>13</v>
      </c>
      <c r="Y7" s="15">
        <f t="shared" si="0"/>
        <v>31</v>
      </c>
      <c r="Z7" s="15">
        <f t="shared" si="0"/>
        <v>80</v>
      </c>
      <c r="AA7" s="15">
        <f t="shared" si="0"/>
        <v>39</v>
      </c>
      <c r="AB7" s="15">
        <f t="shared" si="0"/>
        <v>14</v>
      </c>
      <c r="AC7" s="17">
        <f t="shared" si="0"/>
        <v>31</v>
      </c>
      <c r="AD7" s="25">
        <f t="shared" si="0"/>
        <v>2256</v>
      </c>
    </row>
    <row r="8" spans="1:30" ht="13.5">
      <c r="A8" s="14">
        <v>3</v>
      </c>
      <c r="B8" s="207" t="s">
        <v>24</v>
      </c>
      <c r="C8" s="198" t="s">
        <v>25</v>
      </c>
      <c r="D8" s="199"/>
      <c r="E8" s="20"/>
      <c r="F8" s="20"/>
      <c r="G8" s="21"/>
      <c r="H8" s="41">
        <v>1</v>
      </c>
      <c r="I8" s="20"/>
      <c r="J8" s="20"/>
      <c r="K8" s="15"/>
      <c r="L8" s="15"/>
      <c r="M8" s="15"/>
      <c r="N8" s="20"/>
      <c r="O8" s="20"/>
      <c r="P8" s="20"/>
      <c r="Q8" s="20"/>
      <c r="R8" s="20"/>
      <c r="S8" s="22"/>
      <c r="T8" s="22"/>
      <c r="U8" s="23"/>
      <c r="V8" s="20"/>
      <c r="W8" s="23"/>
      <c r="X8" s="20"/>
      <c r="Y8" s="20"/>
      <c r="Z8" s="20"/>
      <c r="AA8" s="20"/>
      <c r="AB8" s="20"/>
      <c r="AC8" s="22"/>
      <c r="AD8" s="13">
        <f>SUM(E8:AC8)</f>
        <v>1</v>
      </c>
    </row>
    <row r="9" spans="1:30" ht="13.5">
      <c r="A9" s="14">
        <v>4</v>
      </c>
      <c r="B9" s="208"/>
      <c r="C9" s="198" t="s">
        <v>26</v>
      </c>
      <c r="D9" s="199"/>
      <c r="E9" s="15"/>
      <c r="F9" s="20"/>
      <c r="G9" s="21"/>
      <c r="H9" s="21"/>
      <c r="I9" s="20"/>
      <c r="J9" s="20"/>
      <c r="K9" s="20"/>
      <c r="L9" s="15"/>
      <c r="M9" s="15"/>
      <c r="N9" s="20"/>
      <c r="O9" s="20"/>
      <c r="P9" s="20"/>
      <c r="Q9" s="20"/>
      <c r="R9" s="20"/>
      <c r="S9" s="22"/>
      <c r="T9" s="22"/>
      <c r="U9" s="23"/>
      <c r="V9" s="20"/>
      <c r="W9" s="23"/>
      <c r="X9" s="20"/>
      <c r="Y9" s="20"/>
      <c r="Z9" s="20"/>
      <c r="AA9" s="20"/>
      <c r="AB9" s="20"/>
      <c r="AC9" s="22"/>
      <c r="AD9" s="13">
        <f>SUM(E9:AC9)</f>
        <v>0</v>
      </c>
    </row>
    <row r="10" spans="1:30" ht="13.5">
      <c r="A10" s="14">
        <v>5</v>
      </c>
      <c r="B10" s="208"/>
      <c r="C10" s="198" t="s">
        <v>27</v>
      </c>
      <c r="D10" s="199"/>
      <c r="E10" s="15"/>
      <c r="F10" s="20"/>
      <c r="G10" s="21"/>
      <c r="H10" s="21"/>
      <c r="I10" s="20"/>
      <c r="J10" s="20"/>
      <c r="K10" s="20"/>
      <c r="L10" s="15"/>
      <c r="M10" s="15"/>
      <c r="N10" s="20"/>
      <c r="O10" s="20"/>
      <c r="P10" s="20">
        <v>1</v>
      </c>
      <c r="Q10" s="20"/>
      <c r="R10" s="20"/>
      <c r="S10" s="22"/>
      <c r="T10" s="22"/>
      <c r="U10" s="23"/>
      <c r="V10" s="20"/>
      <c r="W10" s="23"/>
      <c r="X10" s="20"/>
      <c r="Y10" s="20"/>
      <c r="Z10" s="20">
        <v>1</v>
      </c>
      <c r="AA10" s="20">
        <v>1</v>
      </c>
      <c r="AB10" s="20"/>
      <c r="AC10" s="22"/>
      <c r="AD10" s="13">
        <f>SUM(E10:AC10)</f>
        <v>3</v>
      </c>
    </row>
    <row r="11" spans="1:30" ht="13.5">
      <c r="A11" s="14">
        <v>6</v>
      </c>
      <c r="B11" s="208"/>
      <c r="C11" s="198" t="s">
        <v>28</v>
      </c>
      <c r="D11" s="199"/>
      <c r="E11" s="15"/>
      <c r="F11" s="20"/>
      <c r="G11" s="21"/>
      <c r="H11" s="21"/>
      <c r="I11" s="20"/>
      <c r="J11" s="20"/>
      <c r="K11" s="15"/>
      <c r="L11" s="20"/>
      <c r="M11" s="20"/>
      <c r="N11" s="20"/>
      <c r="O11" s="20"/>
      <c r="P11" s="20"/>
      <c r="Q11" s="20"/>
      <c r="R11" s="20"/>
      <c r="S11" s="22"/>
      <c r="T11" s="22"/>
      <c r="U11" s="23"/>
      <c r="V11" s="20"/>
      <c r="W11" s="23"/>
      <c r="X11" s="20">
        <v>1</v>
      </c>
      <c r="Y11" s="20"/>
      <c r="Z11" s="20"/>
      <c r="AA11" s="20"/>
      <c r="AB11" s="20"/>
      <c r="AC11" s="22"/>
      <c r="AD11" s="13">
        <f>SUM(E11:AC11)</f>
        <v>1</v>
      </c>
    </row>
    <row r="12" spans="1:30" ht="13.5">
      <c r="A12" s="14">
        <v>7</v>
      </c>
      <c r="B12" s="208"/>
      <c r="C12" s="198" t="s">
        <v>29</v>
      </c>
      <c r="D12" s="199"/>
      <c r="E12" s="16">
        <f>E8+E9</f>
        <v>0</v>
      </c>
      <c r="F12" s="16">
        <f aca="true" t="shared" si="1" ref="F12:AD12">F8+F9</f>
        <v>0</v>
      </c>
      <c r="G12" s="16">
        <f t="shared" si="1"/>
        <v>0</v>
      </c>
      <c r="H12" s="16">
        <f t="shared" si="1"/>
        <v>1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/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33">
        <f t="shared" si="1"/>
        <v>0</v>
      </c>
      <c r="AD12" s="36">
        <f t="shared" si="1"/>
        <v>1</v>
      </c>
    </row>
    <row r="13" spans="1:30" ht="13.5">
      <c r="A13" s="14">
        <v>8</v>
      </c>
      <c r="B13" s="209"/>
      <c r="C13" s="198" t="s">
        <v>30</v>
      </c>
      <c r="D13" s="199"/>
      <c r="E13" s="16">
        <f>E10+E11</f>
        <v>0</v>
      </c>
      <c r="F13" s="16">
        <f aca="true" t="shared" si="2" ref="F13:AD13">F10+F11</f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1</v>
      </c>
      <c r="Q13" s="16">
        <f t="shared" si="2"/>
        <v>0</v>
      </c>
      <c r="R13" s="16">
        <f t="shared" si="2"/>
        <v>0</v>
      </c>
      <c r="S13" s="16"/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1</v>
      </c>
      <c r="Y13" s="16">
        <f t="shared" si="2"/>
        <v>0</v>
      </c>
      <c r="Z13" s="16">
        <f t="shared" si="2"/>
        <v>1</v>
      </c>
      <c r="AA13" s="16">
        <f t="shared" si="2"/>
        <v>1</v>
      </c>
      <c r="AB13" s="16">
        <f t="shared" si="2"/>
        <v>0</v>
      </c>
      <c r="AC13" s="33">
        <f t="shared" si="2"/>
        <v>0</v>
      </c>
      <c r="AD13" s="36">
        <f t="shared" si="2"/>
        <v>4</v>
      </c>
    </row>
    <row r="14" spans="1:30" ht="13.5">
      <c r="A14" s="14">
        <v>9</v>
      </c>
      <c r="B14" s="207" t="s">
        <v>31</v>
      </c>
      <c r="C14" s="213" t="s">
        <v>32</v>
      </c>
      <c r="D14" s="24" t="s">
        <v>33</v>
      </c>
      <c r="E14" s="15"/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7"/>
      <c r="U14" s="19"/>
      <c r="V14" s="15">
        <v>2</v>
      </c>
      <c r="W14" s="19"/>
      <c r="X14" s="15"/>
      <c r="Y14" s="15"/>
      <c r="Z14" s="15"/>
      <c r="AA14" s="15"/>
      <c r="AB14" s="15"/>
      <c r="AC14" s="17"/>
      <c r="AD14" s="25">
        <f>SUM(E14:AC14)</f>
        <v>2</v>
      </c>
    </row>
    <row r="15" spans="1:30" ht="13.5">
      <c r="A15" s="26"/>
      <c r="B15" s="208"/>
      <c r="C15" s="214"/>
      <c r="D15" s="24" t="s">
        <v>34</v>
      </c>
      <c r="E15" s="15"/>
      <c r="F15" s="16"/>
      <c r="G15" s="16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7"/>
      <c r="T15" s="17"/>
      <c r="U15" s="19"/>
      <c r="V15" s="15"/>
      <c r="W15" s="19"/>
      <c r="X15" s="15"/>
      <c r="Y15" s="15"/>
      <c r="Z15" s="15"/>
      <c r="AA15" s="15"/>
      <c r="AB15" s="15"/>
      <c r="AC15" s="17"/>
      <c r="AD15" s="25">
        <f aca="true" t="shared" si="3" ref="AD15:AD21">SUM(E15:AC15)</f>
        <v>0</v>
      </c>
    </row>
    <row r="16" spans="1:30" ht="13.5">
      <c r="A16" s="14">
        <v>10</v>
      </c>
      <c r="B16" s="208"/>
      <c r="C16" s="213" t="s">
        <v>26</v>
      </c>
      <c r="D16" s="24" t="s">
        <v>33</v>
      </c>
      <c r="E16" s="15">
        <v>2</v>
      </c>
      <c r="F16" s="15"/>
      <c r="G16" s="40">
        <v>30</v>
      </c>
      <c r="H16" s="40">
        <v>9</v>
      </c>
      <c r="I16" s="15">
        <v>14</v>
      </c>
      <c r="J16" s="15">
        <v>6</v>
      </c>
      <c r="K16" s="15"/>
      <c r="L16" s="15">
        <v>19</v>
      </c>
      <c r="M16" s="15">
        <v>1</v>
      </c>
      <c r="N16" s="15">
        <v>67</v>
      </c>
      <c r="O16" s="15">
        <v>2</v>
      </c>
      <c r="P16" s="15">
        <v>1</v>
      </c>
      <c r="Q16" s="15">
        <v>1</v>
      </c>
      <c r="R16" s="15">
        <v>8</v>
      </c>
      <c r="S16" s="17"/>
      <c r="T16" s="17"/>
      <c r="U16" s="19"/>
      <c r="V16" s="15"/>
      <c r="W16" s="19">
        <v>1</v>
      </c>
      <c r="X16" s="15"/>
      <c r="Y16" s="15">
        <v>9</v>
      </c>
      <c r="Z16" s="15">
        <v>5</v>
      </c>
      <c r="AA16" s="15"/>
      <c r="AB16" s="15"/>
      <c r="AC16" s="17"/>
      <c r="AD16" s="25">
        <f t="shared" si="3"/>
        <v>175</v>
      </c>
    </row>
    <row r="17" spans="1:30" ht="13.5">
      <c r="A17" s="14" t="s">
        <v>35</v>
      </c>
      <c r="B17" s="208"/>
      <c r="C17" s="214"/>
      <c r="D17" s="24" t="s">
        <v>34</v>
      </c>
      <c r="E17" s="15">
        <v>30</v>
      </c>
      <c r="F17" s="15"/>
      <c r="G17" s="40">
        <v>681</v>
      </c>
      <c r="H17" s="40">
        <v>283</v>
      </c>
      <c r="I17" s="16">
        <v>1002</v>
      </c>
      <c r="J17" s="15">
        <v>103</v>
      </c>
      <c r="K17" s="15"/>
      <c r="L17" s="15">
        <v>120</v>
      </c>
      <c r="M17" s="15">
        <v>16</v>
      </c>
      <c r="N17" s="15">
        <v>3368</v>
      </c>
      <c r="O17" s="15">
        <v>336</v>
      </c>
      <c r="P17" s="15">
        <v>3</v>
      </c>
      <c r="Q17" s="15">
        <v>60</v>
      </c>
      <c r="R17" s="15">
        <v>122</v>
      </c>
      <c r="S17" s="17"/>
      <c r="T17" s="17"/>
      <c r="U17" s="19"/>
      <c r="V17" s="15"/>
      <c r="W17" s="19">
        <v>69</v>
      </c>
      <c r="X17" s="15"/>
      <c r="Y17" s="15">
        <v>943</v>
      </c>
      <c r="Z17" s="15">
        <v>186</v>
      </c>
      <c r="AA17" s="15"/>
      <c r="AB17" s="15"/>
      <c r="AC17" s="17"/>
      <c r="AD17" s="25">
        <f t="shared" si="3"/>
        <v>7322</v>
      </c>
    </row>
    <row r="18" spans="1:30" ht="13.5">
      <c r="A18" s="14">
        <v>11</v>
      </c>
      <c r="B18" s="208"/>
      <c r="C18" s="213" t="s">
        <v>27</v>
      </c>
      <c r="D18" s="24" t="s">
        <v>33</v>
      </c>
      <c r="E18" s="15">
        <v>1</v>
      </c>
      <c r="F18" s="15"/>
      <c r="G18" s="40">
        <v>16</v>
      </c>
      <c r="H18" s="40">
        <v>4</v>
      </c>
      <c r="I18" s="15"/>
      <c r="J18" s="15"/>
      <c r="K18" s="15"/>
      <c r="L18" s="15">
        <v>34</v>
      </c>
      <c r="M18" s="15">
        <v>4</v>
      </c>
      <c r="N18" s="15">
        <v>48</v>
      </c>
      <c r="O18" s="15"/>
      <c r="P18" s="15">
        <v>3</v>
      </c>
      <c r="Q18" s="15"/>
      <c r="R18" s="15">
        <v>2</v>
      </c>
      <c r="S18" s="17"/>
      <c r="T18" s="17"/>
      <c r="U18" s="19">
        <v>1</v>
      </c>
      <c r="V18" s="15">
        <v>1</v>
      </c>
      <c r="W18" s="19"/>
      <c r="X18" s="15"/>
      <c r="Y18" s="15"/>
      <c r="Z18" s="15">
        <v>3</v>
      </c>
      <c r="AA18" s="15">
        <v>1</v>
      </c>
      <c r="AB18" s="15"/>
      <c r="AC18" s="17">
        <v>2</v>
      </c>
      <c r="AD18" s="25">
        <f t="shared" si="3"/>
        <v>120</v>
      </c>
    </row>
    <row r="19" spans="1:30" ht="13.5">
      <c r="A19" s="26"/>
      <c r="B19" s="208"/>
      <c r="C19" s="214"/>
      <c r="D19" s="24" t="s">
        <v>34</v>
      </c>
      <c r="E19" s="15">
        <v>15</v>
      </c>
      <c r="F19" s="16"/>
      <c r="G19" s="40">
        <v>1537</v>
      </c>
      <c r="H19" s="40">
        <v>194</v>
      </c>
      <c r="I19" s="16"/>
      <c r="J19" s="15"/>
      <c r="K19" s="15"/>
      <c r="L19" s="15">
        <v>3660</v>
      </c>
      <c r="M19" s="15">
        <v>1782</v>
      </c>
      <c r="N19" s="15">
        <v>5225</v>
      </c>
      <c r="O19" s="15"/>
      <c r="P19" s="15">
        <v>64</v>
      </c>
      <c r="Q19" s="15"/>
      <c r="R19" s="15">
        <v>135</v>
      </c>
      <c r="S19" s="17"/>
      <c r="T19" s="17"/>
      <c r="U19" s="19">
        <v>1620</v>
      </c>
      <c r="V19" s="15">
        <v>53</v>
      </c>
      <c r="W19" s="19"/>
      <c r="X19" s="15"/>
      <c r="Y19" s="15"/>
      <c r="Z19" s="15">
        <v>186</v>
      </c>
      <c r="AA19" s="15">
        <v>18</v>
      </c>
      <c r="AB19" s="15"/>
      <c r="AC19" s="17">
        <v>125</v>
      </c>
      <c r="AD19" s="25">
        <f t="shared" si="3"/>
        <v>14614</v>
      </c>
    </row>
    <row r="20" spans="1:30" ht="13.5">
      <c r="A20" s="14">
        <v>12</v>
      </c>
      <c r="B20" s="208"/>
      <c r="C20" s="213" t="s">
        <v>28</v>
      </c>
      <c r="D20" s="24" t="s">
        <v>33</v>
      </c>
      <c r="E20" s="15">
        <v>5</v>
      </c>
      <c r="F20" s="15">
        <v>7</v>
      </c>
      <c r="G20" s="40">
        <v>23</v>
      </c>
      <c r="H20" s="40">
        <v>9</v>
      </c>
      <c r="I20" s="15"/>
      <c r="J20" s="15">
        <v>6</v>
      </c>
      <c r="K20" s="15">
        <v>7</v>
      </c>
      <c r="L20" s="15">
        <v>11</v>
      </c>
      <c r="M20" s="15">
        <v>9</v>
      </c>
      <c r="N20" s="15">
        <v>33</v>
      </c>
      <c r="O20" s="15">
        <v>2</v>
      </c>
      <c r="P20" s="15"/>
      <c r="Q20" s="15"/>
      <c r="R20" s="15">
        <v>7</v>
      </c>
      <c r="S20" s="17"/>
      <c r="T20" s="17">
        <v>21</v>
      </c>
      <c r="U20" s="19"/>
      <c r="V20" s="15">
        <v>5</v>
      </c>
      <c r="W20" s="19">
        <v>1</v>
      </c>
      <c r="X20" s="15">
        <v>9</v>
      </c>
      <c r="Y20" s="15">
        <v>1</v>
      </c>
      <c r="Z20" s="15">
        <v>4</v>
      </c>
      <c r="AA20" s="15"/>
      <c r="AB20" s="15">
        <v>4</v>
      </c>
      <c r="AC20" s="17">
        <v>2</v>
      </c>
      <c r="AD20" s="25">
        <f t="shared" si="3"/>
        <v>166</v>
      </c>
    </row>
    <row r="21" spans="1:30" ht="13.5">
      <c r="A21" s="26"/>
      <c r="B21" s="208"/>
      <c r="C21" s="214"/>
      <c r="D21" s="24" t="s">
        <v>34</v>
      </c>
      <c r="E21" s="15">
        <v>225</v>
      </c>
      <c r="F21" s="16">
        <v>234</v>
      </c>
      <c r="G21" s="40">
        <v>742</v>
      </c>
      <c r="H21" s="40">
        <v>208</v>
      </c>
      <c r="I21" s="16"/>
      <c r="J21" s="15">
        <v>176</v>
      </c>
      <c r="K21" s="15">
        <v>399</v>
      </c>
      <c r="L21" s="15">
        <v>420</v>
      </c>
      <c r="M21" s="15">
        <v>627</v>
      </c>
      <c r="N21" s="15">
        <v>1029</v>
      </c>
      <c r="O21" s="15">
        <v>50</v>
      </c>
      <c r="P21" s="15"/>
      <c r="Q21" s="15"/>
      <c r="R21" s="15">
        <v>43</v>
      </c>
      <c r="S21" s="17"/>
      <c r="T21" s="17">
        <v>798</v>
      </c>
      <c r="U21" s="19"/>
      <c r="V21" s="15">
        <v>357</v>
      </c>
      <c r="W21" s="19">
        <v>212</v>
      </c>
      <c r="X21" s="15">
        <v>2683</v>
      </c>
      <c r="Y21" s="15">
        <v>15</v>
      </c>
      <c r="Z21" s="15">
        <v>307</v>
      </c>
      <c r="AA21" s="15"/>
      <c r="AB21" s="15">
        <v>44</v>
      </c>
      <c r="AC21" s="17">
        <v>808</v>
      </c>
      <c r="AD21" s="25">
        <f t="shared" si="3"/>
        <v>9377</v>
      </c>
    </row>
    <row r="22" spans="1:30" ht="13.5">
      <c r="A22" s="14">
        <v>13</v>
      </c>
      <c r="B22" s="208"/>
      <c r="C22" s="198" t="s">
        <v>36</v>
      </c>
      <c r="D22" s="199"/>
      <c r="E22" s="15">
        <f>E14+E16+E18+E20</f>
        <v>8</v>
      </c>
      <c r="F22" s="15">
        <f aca="true" t="shared" si="4" ref="F22:AD23">F14+F16+F18+F20</f>
        <v>7</v>
      </c>
      <c r="G22" s="15">
        <f t="shared" si="4"/>
        <v>69</v>
      </c>
      <c r="H22" s="15">
        <f t="shared" si="4"/>
        <v>22</v>
      </c>
      <c r="I22" s="15">
        <f t="shared" si="4"/>
        <v>14</v>
      </c>
      <c r="J22" s="15">
        <f t="shared" si="4"/>
        <v>12</v>
      </c>
      <c r="K22" s="15">
        <f t="shared" si="4"/>
        <v>7</v>
      </c>
      <c r="L22" s="15">
        <f t="shared" si="4"/>
        <v>64</v>
      </c>
      <c r="M22" s="15">
        <f t="shared" si="4"/>
        <v>14</v>
      </c>
      <c r="N22" s="15">
        <f t="shared" si="4"/>
        <v>148</v>
      </c>
      <c r="O22" s="15">
        <v>4</v>
      </c>
      <c r="P22" s="15">
        <f t="shared" si="4"/>
        <v>4</v>
      </c>
      <c r="Q22" s="15">
        <f t="shared" si="4"/>
        <v>1</v>
      </c>
      <c r="R22" s="15">
        <f t="shared" si="4"/>
        <v>17</v>
      </c>
      <c r="S22" s="15"/>
      <c r="T22" s="15">
        <f t="shared" si="4"/>
        <v>21</v>
      </c>
      <c r="U22" s="15">
        <f t="shared" si="4"/>
        <v>1</v>
      </c>
      <c r="V22" s="15">
        <f t="shared" si="4"/>
        <v>8</v>
      </c>
      <c r="W22" s="15">
        <f t="shared" si="4"/>
        <v>2</v>
      </c>
      <c r="X22" s="15">
        <f t="shared" si="4"/>
        <v>9</v>
      </c>
      <c r="Y22" s="15">
        <f t="shared" si="4"/>
        <v>10</v>
      </c>
      <c r="Z22" s="15">
        <f t="shared" si="4"/>
        <v>12</v>
      </c>
      <c r="AA22" s="15">
        <f t="shared" si="4"/>
        <v>1</v>
      </c>
      <c r="AB22" s="15">
        <f t="shared" si="4"/>
        <v>4</v>
      </c>
      <c r="AC22" s="17">
        <f t="shared" si="4"/>
        <v>4</v>
      </c>
      <c r="AD22" s="25">
        <f t="shared" si="4"/>
        <v>463</v>
      </c>
    </row>
    <row r="23" spans="1:30" ht="13.5">
      <c r="A23" s="14">
        <v>14</v>
      </c>
      <c r="B23" s="209"/>
      <c r="C23" s="198" t="s">
        <v>37</v>
      </c>
      <c r="D23" s="199"/>
      <c r="E23" s="15">
        <f>E15+E17+E19+E21</f>
        <v>270</v>
      </c>
      <c r="F23" s="15">
        <f t="shared" si="4"/>
        <v>234</v>
      </c>
      <c r="G23" s="15">
        <f t="shared" si="4"/>
        <v>2960</v>
      </c>
      <c r="H23" s="15">
        <f t="shared" si="4"/>
        <v>685</v>
      </c>
      <c r="I23" s="15">
        <f t="shared" si="4"/>
        <v>1002</v>
      </c>
      <c r="J23" s="15">
        <f t="shared" si="4"/>
        <v>279</v>
      </c>
      <c r="K23" s="15">
        <f t="shared" si="4"/>
        <v>399</v>
      </c>
      <c r="L23" s="15">
        <f t="shared" si="4"/>
        <v>4200</v>
      </c>
      <c r="M23" s="15">
        <f t="shared" si="4"/>
        <v>2425</v>
      </c>
      <c r="N23" s="15">
        <f t="shared" si="4"/>
        <v>9622</v>
      </c>
      <c r="O23" s="15">
        <v>386</v>
      </c>
      <c r="P23" s="15">
        <f t="shared" si="4"/>
        <v>67</v>
      </c>
      <c r="Q23" s="15">
        <f t="shared" si="4"/>
        <v>60</v>
      </c>
      <c r="R23" s="15">
        <f t="shared" si="4"/>
        <v>300</v>
      </c>
      <c r="S23" s="15"/>
      <c r="T23" s="15">
        <f t="shared" si="4"/>
        <v>798</v>
      </c>
      <c r="U23" s="15">
        <f t="shared" si="4"/>
        <v>1620</v>
      </c>
      <c r="V23" s="15">
        <f t="shared" si="4"/>
        <v>410</v>
      </c>
      <c r="W23" s="15">
        <f t="shared" si="4"/>
        <v>281</v>
      </c>
      <c r="X23" s="15">
        <f t="shared" si="4"/>
        <v>2683</v>
      </c>
      <c r="Y23" s="15">
        <f t="shared" si="4"/>
        <v>958</v>
      </c>
      <c r="Z23" s="15">
        <f t="shared" si="4"/>
        <v>679</v>
      </c>
      <c r="AA23" s="15">
        <f t="shared" si="4"/>
        <v>18</v>
      </c>
      <c r="AB23" s="15">
        <f t="shared" si="4"/>
        <v>44</v>
      </c>
      <c r="AC23" s="17">
        <f t="shared" si="4"/>
        <v>933</v>
      </c>
      <c r="AD23" s="25">
        <f t="shared" si="4"/>
        <v>31313</v>
      </c>
    </row>
    <row r="24" spans="1:30" ht="13.5">
      <c r="A24" s="14">
        <v>16</v>
      </c>
      <c r="B24" s="198" t="s">
        <v>39</v>
      </c>
      <c r="C24" s="200"/>
      <c r="D24" s="199"/>
      <c r="E24" s="15">
        <f>E7-E12</f>
        <v>19</v>
      </c>
      <c r="F24" s="15">
        <f aca="true" t="shared" si="5" ref="F24:AD24">F7-F12</f>
        <v>68</v>
      </c>
      <c r="G24" s="15">
        <f t="shared" si="5"/>
        <v>114</v>
      </c>
      <c r="H24" s="15">
        <f t="shared" si="5"/>
        <v>121</v>
      </c>
      <c r="I24" s="15">
        <f t="shared" si="5"/>
        <v>31</v>
      </c>
      <c r="J24" s="15">
        <f t="shared" si="5"/>
        <v>13</v>
      </c>
      <c r="K24" s="15">
        <f t="shared" si="5"/>
        <v>13</v>
      </c>
      <c r="L24" s="15">
        <f t="shared" si="5"/>
        <v>234</v>
      </c>
      <c r="M24" s="15">
        <f t="shared" si="5"/>
        <v>124</v>
      </c>
      <c r="N24" s="15">
        <f t="shared" si="5"/>
        <v>854</v>
      </c>
      <c r="O24" s="15">
        <f t="shared" si="5"/>
        <v>79</v>
      </c>
      <c r="P24" s="15">
        <f t="shared" si="5"/>
        <v>217</v>
      </c>
      <c r="Q24" s="15">
        <f t="shared" si="5"/>
        <v>4</v>
      </c>
      <c r="R24" s="15">
        <f t="shared" si="5"/>
        <v>31</v>
      </c>
      <c r="S24" s="15"/>
      <c r="T24" s="15">
        <f t="shared" si="5"/>
        <v>31</v>
      </c>
      <c r="U24" s="15">
        <f t="shared" si="5"/>
        <v>33</v>
      </c>
      <c r="V24" s="15">
        <f t="shared" si="5"/>
        <v>30</v>
      </c>
      <c r="W24" s="15">
        <f t="shared" si="5"/>
        <v>31</v>
      </c>
      <c r="X24" s="15">
        <f t="shared" si="5"/>
        <v>13</v>
      </c>
      <c r="Y24" s="15">
        <f t="shared" si="5"/>
        <v>31</v>
      </c>
      <c r="Z24" s="15">
        <f t="shared" si="5"/>
        <v>80</v>
      </c>
      <c r="AA24" s="15">
        <f t="shared" si="5"/>
        <v>39</v>
      </c>
      <c r="AB24" s="15">
        <f t="shared" si="5"/>
        <v>14</v>
      </c>
      <c r="AC24" s="17">
        <f t="shared" si="5"/>
        <v>31</v>
      </c>
      <c r="AD24" s="25">
        <f t="shared" si="5"/>
        <v>2255</v>
      </c>
    </row>
    <row r="25" spans="1:30" ht="13.5">
      <c r="A25" s="14">
        <v>17</v>
      </c>
      <c r="B25" s="198" t="s">
        <v>40</v>
      </c>
      <c r="C25" s="200"/>
      <c r="D25" s="199"/>
      <c r="E25" s="15">
        <f>E24-E22-E13</f>
        <v>11</v>
      </c>
      <c r="F25" s="15">
        <f aca="true" t="shared" si="6" ref="F25:AD25">F24-F22-F13</f>
        <v>61</v>
      </c>
      <c r="G25" s="15">
        <f t="shared" si="6"/>
        <v>45</v>
      </c>
      <c r="H25" s="15">
        <f t="shared" si="6"/>
        <v>99</v>
      </c>
      <c r="I25" s="15">
        <f t="shared" si="6"/>
        <v>17</v>
      </c>
      <c r="J25" s="15">
        <f t="shared" si="6"/>
        <v>1</v>
      </c>
      <c r="K25" s="15">
        <f t="shared" si="6"/>
        <v>6</v>
      </c>
      <c r="L25" s="15">
        <f t="shared" si="6"/>
        <v>170</v>
      </c>
      <c r="M25" s="15">
        <f t="shared" si="6"/>
        <v>110</v>
      </c>
      <c r="N25" s="15">
        <f t="shared" si="6"/>
        <v>706</v>
      </c>
      <c r="O25" s="15">
        <f t="shared" si="6"/>
        <v>75</v>
      </c>
      <c r="P25" s="15">
        <f t="shared" si="6"/>
        <v>212</v>
      </c>
      <c r="Q25" s="15">
        <f t="shared" si="6"/>
        <v>3</v>
      </c>
      <c r="R25" s="15">
        <f t="shared" si="6"/>
        <v>14</v>
      </c>
      <c r="S25" s="15"/>
      <c r="T25" s="15">
        <f t="shared" si="6"/>
        <v>10</v>
      </c>
      <c r="U25" s="15">
        <f t="shared" si="6"/>
        <v>32</v>
      </c>
      <c r="V25" s="15">
        <f t="shared" si="6"/>
        <v>22</v>
      </c>
      <c r="W25" s="15">
        <f t="shared" si="6"/>
        <v>29</v>
      </c>
      <c r="X25" s="15">
        <f t="shared" si="6"/>
        <v>3</v>
      </c>
      <c r="Y25" s="15">
        <f t="shared" si="6"/>
        <v>21</v>
      </c>
      <c r="Z25" s="15">
        <f t="shared" si="6"/>
        <v>67</v>
      </c>
      <c r="AA25" s="15">
        <f t="shared" si="6"/>
        <v>37</v>
      </c>
      <c r="AB25" s="15">
        <f t="shared" si="6"/>
        <v>10</v>
      </c>
      <c r="AC25" s="17">
        <f t="shared" si="6"/>
        <v>27</v>
      </c>
      <c r="AD25" s="25">
        <f t="shared" si="6"/>
        <v>1788</v>
      </c>
    </row>
    <row r="26" spans="1:30" ht="13.5">
      <c r="A26" s="14">
        <v>18</v>
      </c>
      <c r="B26" s="198" t="s">
        <v>41</v>
      </c>
      <c r="C26" s="200"/>
      <c r="D26" s="199"/>
      <c r="E26" s="29">
        <f>IF(E24=0,0,(E25+E16)/E24)</f>
        <v>0.6842105263157895</v>
      </c>
      <c r="F26" s="29">
        <f aca="true" t="shared" si="7" ref="F26:AD26">IF(F24=0,0,(F25+F16)/F24)</f>
        <v>0.8970588235294118</v>
      </c>
      <c r="G26" s="29">
        <f t="shared" si="7"/>
        <v>0.6578947368421053</v>
      </c>
      <c r="H26" s="29">
        <f t="shared" si="7"/>
        <v>0.8925619834710744</v>
      </c>
      <c r="I26" s="29">
        <f t="shared" si="7"/>
        <v>1</v>
      </c>
      <c r="J26" s="29">
        <f t="shared" si="7"/>
        <v>0.5384615384615384</v>
      </c>
      <c r="K26" s="29">
        <f t="shared" si="7"/>
        <v>0.46153846153846156</v>
      </c>
      <c r="L26" s="29">
        <f t="shared" si="7"/>
        <v>0.8076923076923077</v>
      </c>
      <c r="M26" s="29">
        <f t="shared" si="7"/>
        <v>0.8951612903225806</v>
      </c>
      <c r="N26" s="29">
        <f t="shared" si="7"/>
        <v>0.905152224824356</v>
      </c>
      <c r="O26" s="29">
        <f t="shared" si="7"/>
        <v>0.9746835443037974</v>
      </c>
      <c r="P26" s="29">
        <f t="shared" si="7"/>
        <v>0.9815668202764977</v>
      </c>
      <c r="Q26" s="29">
        <f t="shared" si="7"/>
        <v>1</v>
      </c>
      <c r="R26" s="29">
        <f t="shared" si="7"/>
        <v>0.7096774193548387</v>
      </c>
      <c r="S26" s="29"/>
      <c r="T26" s="29">
        <f t="shared" si="7"/>
        <v>0.3225806451612903</v>
      </c>
      <c r="U26" s="29">
        <f t="shared" si="7"/>
        <v>0.9696969696969697</v>
      </c>
      <c r="V26" s="29">
        <f t="shared" si="7"/>
        <v>0.7333333333333333</v>
      </c>
      <c r="W26" s="29">
        <f t="shared" si="7"/>
        <v>0.967741935483871</v>
      </c>
      <c r="X26" s="29">
        <f t="shared" si="7"/>
        <v>0.23076923076923078</v>
      </c>
      <c r="Y26" s="29">
        <f t="shared" si="7"/>
        <v>0.967741935483871</v>
      </c>
      <c r="Z26" s="29">
        <f t="shared" si="7"/>
        <v>0.9</v>
      </c>
      <c r="AA26" s="29">
        <f t="shared" si="7"/>
        <v>0.9487179487179487</v>
      </c>
      <c r="AB26" s="29">
        <f t="shared" si="7"/>
        <v>0.7142857142857143</v>
      </c>
      <c r="AC26" s="34">
        <f t="shared" si="7"/>
        <v>0.8709677419354839</v>
      </c>
      <c r="AD26" s="37">
        <f t="shared" si="7"/>
        <v>0.870509977827051</v>
      </c>
    </row>
    <row r="27" spans="1:30" ht="14.25" thickBot="1">
      <c r="A27" s="30">
        <v>19</v>
      </c>
      <c r="B27" s="210" t="s">
        <v>42</v>
      </c>
      <c r="C27" s="211"/>
      <c r="D27" s="212"/>
      <c r="E27" s="31">
        <f>+E23/E22</f>
        <v>33.75</v>
      </c>
      <c r="F27" s="31">
        <f aca="true" t="shared" si="8" ref="F27:AD27">+F23/F22</f>
        <v>33.42857142857143</v>
      </c>
      <c r="G27" s="31">
        <f t="shared" si="8"/>
        <v>42.89855072463768</v>
      </c>
      <c r="H27" s="31">
        <f t="shared" si="8"/>
        <v>31.136363636363637</v>
      </c>
      <c r="I27" s="31">
        <f t="shared" si="8"/>
        <v>71.57142857142857</v>
      </c>
      <c r="J27" s="31">
        <f t="shared" si="8"/>
        <v>23.25</v>
      </c>
      <c r="K27" s="31">
        <f t="shared" si="8"/>
        <v>57</v>
      </c>
      <c r="L27" s="31">
        <f t="shared" si="8"/>
        <v>65.625</v>
      </c>
      <c r="M27" s="31">
        <f t="shared" si="8"/>
        <v>173.21428571428572</v>
      </c>
      <c r="N27" s="31">
        <f t="shared" si="8"/>
        <v>65.01351351351352</v>
      </c>
      <c r="O27" s="31">
        <f t="shared" si="8"/>
        <v>96.5</v>
      </c>
      <c r="P27" s="31">
        <f t="shared" si="8"/>
        <v>16.75</v>
      </c>
      <c r="Q27" s="31">
        <f t="shared" si="8"/>
        <v>60</v>
      </c>
      <c r="R27" s="31">
        <f t="shared" si="8"/>
        <v>17.647058823529413</v>
      </c>
      <c r="S27" s="31"/>
      <c r="T27" s="31">
        <f t="shared" si="8"/>
        <v>38</v>
      </c>
      <c r="U27" s="31">
        <f t="shared" si="8"/>
        <v>1620</v>
      </c>
      <c r="V27" s="31">
        <f t="shared" si="8"/>
        <v>51.25</v>
      </c>
      <c r="W27" s="31">
        <f t="shared" si="8"/>
        <v>140.5</v>
      </c>
      <c r="X27" s="31">
        <f t="shared" si="8"/>
        <v>298.1111111111111</v>
      </c>
      <c r="Y27" s="31">
        <f t="shared" si="8"/>
        <v>95.8</v>
      </c>
      <c r="Z27" s="31">
        <f t="shared" si="8"/>
        <v>56.583333333333336</v>
      </c>
      <c r="AA27" s="31">
        <f t="shared" si="8"/>
        <v>18</v>
      </c>
      <c r="AB27" s="31">
        <f t="shared" si="8"/>
        <v>11</v>
      </c>
      <c r="AC27" s="35">
        <f t="shared" si="8"/>
        <v>233.25</v>
      </c>
      <c r="AD27" s="38">
        <f t="shared" si="8"/>
        <v>67.63066954643628</v>
      </c>
    </row>
    <row r="28" ht="13.5" thickTop="1"/>
  </sheetData>
  <mergeCells count="25">
    <mergeCell ref="B26:D26"/>
    <mergeCell ref="B27:D27"/>
    <mergeCell ref="B14:B23"/>
    <mergeCell ref="C22:D22"/>
    <mergeCell ref="C23:D23"/>
    <mergeCell ref="B24:D24"/>
    <mergeCell ref="C14:C15"/>
    <mergeCell ref="C16:C17"/>
    <mergeCell ref="C20:C21"/>
    <mergeCell ref="C18:C19"/>
    <mergeCell ref="B25:D25"/>
    <mergeCell ref="A1:AD1"/>
    <mergeCell ref="A2:AD2"/>
    <mergeCell ref="A3:AD3"/>
    <mergeCell ref="B4:D4"/>
    <mergeCell ref="B5:D5"/>
    <mergeCell ref="B6:D6"/>
    <mergeCell ref="B7:D7"/>
    <mergeCell ref="B8:B13"/>
    <mergeCell ref="C8:D8"/>
    <mergeCell ref="C13:D13"/>
    <mergeCell ref="C9:D9"/>
    <mergeCell ref="C10:D10"/>
    <mergeCell ref="C11:D11"/>
    <mergeCell ref="C12:D12"/>
  </mergeCells>
  <printOptions/>
  <pageMargins left="0.5905511811023623" right="0.5905511811023623" top="0.984251968503937" bottom="0.984251968503937" header="0" footer="0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P4" sqref="P1:P16384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5" width="5.28125" style="0" customWidth="1"/>
    <col min="6" max="7" width="4.28125" style="0" hidden="1" customWidth="1"/>
    <col min="8" max="8" width="6.00390625" style="0" bestFit="1" customWidth="1"/>
    <col min="9" max="9" width="6.28125" style="0" bestFit="1" customWidth="1"/>
    <col min="10" max="10" width="6.00390625" style="0" bestFit="1" customWidth="1"/>
    <col min="11" max="11" width="6.28125" style="0" bestFit="1" customWidth="1"/>
    <col min="12" max="13" width="6.00390625" style="0" bestFit="1" customWidth="1"/>
    <col min="14" max="14" width="7.00390625" style="0" bestFit="1" customWidth="1"/>
    <col min="15" max="15" width="5.28125" style="0" bestFit="1" customWidth="1"/>
    <col min="16" max="16" width="4.28125" style="0" hidden="1" customWidth="1"/>
    <col min="17" max="18" width="6.28125" style="0" bestFit="1" customWidth="1"/>
    <col min="19" max="19" width="5.28125" style="0" customWidth="1"/>
    <col min="20" max="20" width="4.28125" style="0" bestFit="1" customWidth="1"/>
    <col min="21" max="23" width="5.28125" style="0" bestFit="1" customWidth="1"/>
    <col min="24" max="24" width="4.28125" style="0" bestFit="1" customWidth="1"/>
    <col min="25" max="25" width="5.28125" style="0" bestFit="1" customWidth="1"/>
    <col min="26" max="26" width="6.00390625" style="0" bestFit="1" customWidth="1"/>
    <col min="27" max="28" width="6.28125" style="0" bestFit="1" customWidth="1"/>
    <col min="29" max="29" width="5.28125" style="0" bestFit="1" customWidth="1"/>
    <col min="30" max="30" width="7.00390625" style="0" bestFit="1" customWidth="1"/>
    <col min="31" max="80" width="6.421875" style="0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2" t="s">
        <v>61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>
      <c r="A4" s="147" t="s">
        <v>0</v>
      </c>
      <c r="B4" s="243" t="s">
        <v>1</v>
      </c>
      <c r="C4" s="224"/>
      <c r="D4" s="231"/>
      <c r="E4" s="159" t="s">
        <v>20</v>
      </c>
      <c r="F4" s="108" t="s">
        <v>48</v>
      </c>
      <c r="G4" s="108" t="s">
        <v>3</v>
      </c>
      <c r="H4" s="108" t="s">
        <v>49</v>
      </c>
      <c r="I4" s="108" t="s">
        <v>2</v>
      </c>
      <c r="J4" s="108" t="s">
        <v>19</v>
      </c>
      <c r="K4" s="109" t="s">
        <v>50</v>
      </c>
      <c r="L4" s="108" t="s">
        <v>15</v>
      </c>
      <c r="M4" s="108" t="s">
        <v>4</v>
      </c>
      <c r="N4" s="108" t="s">
        <v>5</v>
      </c>
      <c r="O4" s="108" t="s">
        <v>7</v>
      </c>
      <c r="P4" s="108" t="s">
        <v>6</v>
      </c>
      <c r="Q4" s="110" t="s">
        <v>8</v>
      </c>
      <c r="R4" s="110" t="s">
        <v>9</v>
      </c>
      <c r="S4" s="110" t="s">
        <v>54</v>
      </c>
      <c r="T4" s="108" t="s">
        <v>10</v>
      </c>
      <c r="U4" s="108" t="s">
        <v>17</v>
      </c>
      <c r="V4" s="110" t="s">
        <v>11</v>
      </c>
      <c r="W4" s="110" t="s">
        <v>12</v>
      </c>
      <c r="X4" s="110" t="s">
        <v>13</v>
      </c>
      <c r="Y4" s="110" t="s">
        <v>14</v>
      </c>
      <c r="Z4" s="110" t="s">
        <v>46</v>
      </c>
      <c r="AA4" s="110" t="s">
        <v>18</v>
      </c>
      <c r="AB4" s="110" t="s">
        <v>16</v>
      </c>
      <c r="AC4" s="110" t="s">
        <v>47</v>
      </c>
      <c r="AD4" s="97" t="s">
        <v>21</v>
      </c>
    </row>
    <row r="5" spans="1:30" ht="13.5">
      <c r="A5" s="143">
        <v>1</v>
      </c>
      <c r="B5" s="241" t="s">
        <v>22</v>
      </c>
      <c r="C5" s="222"/>
      <c r="D5" s="242"/>
      <c r="E5" s="137">
        <v>14</v>
      </c>
      <c r="F5" s="190"/>
      <c r="G5" s="191"/>
      <c r="H5" s="107">
        <v>326</v>
      </c>
      <c r="I5" s="11">
        <v>31</v>
      </c>
      <c r="J5" s="11">
        <v>14</v>
      </c>
      <c r="K5" s="11">
        <v>13</v>
      </c>
      <c r="L5" s="11">
        <v>289</v>
      </c>
      <c r="M5" s="11">
        <v>124</v>
      </c>
      <c r="N5" s="11">
        <v>839</v>
      </c>
      <c r="O5" s="11">
        <v>75</v>
      </c>
      <c r="P5" s="11"/>
      <c r="Q5" s="11">
        <v>4</v>
      </c>
      <c r="R5" s="11">
        <v>31</v>
      </c>
      <c r="S5" s="12">
        <v>9</v>
      </c>
      <c r="T5" s="9"/>
      <c r="U5" s="10">
        <v>31</v>
      </c>
      <c r="V5" s="11">
        <v>27</v>
      </c>
      <c r="W5" s="10">
        <v>31</v>
      </c>
      <c r="X5" s="11"/>
      <c r="Y5" s="11">
        <v>108</v>
      </c>
      <c r="Z5" s="11">
        <v>111</v>
      </c>
      <c r="AA5" s="11">
        <v>31</v>
      </c>
      <c r="AB5" s="11">
        <v>14</v>
      </c>
      <c r="AC5" s="12">
        <v>31</v>
      </c>
      <c r="AD5" s="119">
        <f>SUM(E5:AC5)</f>
        <v>2153</v>
      </c>
    </row>
    <row r="6" spans="1:30" ht="13.5">
      <c r="A6" s="145">
        <v>2</v>
      </c>
      <c r="B6" s="240" t="s">
        <v>23</v>
      </c>
      <c r="C6" s="200"/>
      <c r="D6" s="239"/>
      <c r="E6" s="138"/>
      <c r="F6" s="184"/>
      <c r="G6" s="185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  <c r="T6" s="18"/>
      <c r="U6" s="19"/>
      <c r="V6" s="15"/>
      <c r="W6" s="19"/>
      <c r="X6" s="15"/>
      <c r="Y6" s="15"/>
      <c r="Z6" s="15"/>
      <c r="AA6" s="15"/>
      <c r="AB6" s="15"/>
      <c r="AC6" s="17"/>
      <c r="AD6" s="119">
        <f>SUM(E6:AC6)</f>
        <v>0</v>
      </c>
    </row>
    <row r="7" spans="1:30" ht="14.25" thickBot="1">
      <c r="A7" s="145">
        <v>15</v>
      </c>
      <c r="B7" s="232" t="s">
        <v>38</v>
      </c>
      <c r="C7" s="200"/>
      <c r="D7" s="239"/>
      <c r="E7" s="138">
        <f aca="true" t="shared" si="0" ref="E7:AD7">SUM(E5:E6)</f>
        <v>14</v>
      </c>
      <c r="F7" s="184">
        <f t="shared" si="0"/>
        <v>0</v>
      </c>
      <c r="G7" s="184">
        <f t="shared" si="0"/>
        <v>0</v>
      </c>
      <c r="H7" s="15">
        <f t="shared" si="0"/>
        <v>326</v>
      </c>
      <c r="I7" s="15">
        <f t="shared" si="0"/>
        <v>31</v>
      </c>
      <c r="J7" s="15">
        <f t="shared" si="0"/>
        <v>14</v>
      </c>
      <c r="K7" s="15">
        <f t="shared" si="0"/>
        <v>13</v>
      </c>
      <c r="L7" s="15">
        <f t="shared" si="0"/>
        <v>289</v>
      </c>
      <c r="M7" s="15">
        <f t="shared" si="0"/>
        <v>124</v>
      </c>
      <c r="N7" s="15">
        <f t="shared" si="0"/>
        <v>839</v>
      </c>
      <c r="O7" s="15">
        <f t="shared" si="0"/>
        <v>75</v>
      </c>
      <c r="P7" s="15">
        <f t="shared" si="0"/>
        <v>0</v>
      </c>
      <c r="Q7" s="15">
        <f t="shared" si="0"/>
        <v>4</v>
      </c>
      <c r="R7" s="15">
        <f t="shared" si="0"/>
        <v>31</v>
      </c>
      <c r="S7" s="17">
        <f t="shared" si="0"/>
        <v>9</v>
      </c>
      <c r="T7" s="18">
        <f t="shared" si="0"/>
        <v>0</v>
      </c>
      <c r="U7" s="138">
        <f t="shared" si="0"/>
        <v>31</v>
      </c>
      <c r="V7" s="15">
        <f t="shared" si="0"/>
        <v>27</v>
      </c>
      <c r="W7" s="15">
        <f t="shared" si="0"/>
        <v>31</v>
      </c>
      <c r="X7" s="15">
        <f t="shared" si="0"/>
        <v>0</v>
      </c>
      <c r="Y7" s="15">
        <f t="shared" si="0"/>
        <v>108</v>
      </c>
      <c r="Z7" s="15">
        <f t="shared" si="0"/>
        <v>111</v>
      </c>
      <c r="AA7" s="15">
        <f t="shared" si="0"/>
        <v>31</v>
      </c>
      <c r="AB7" s="15">
        <f t="shared" si="0"/>
        <v>14</v>
      </c>
      <c r="AC7" s="17">
        <f t="shared" si="0"/>
        <v>31</v>
      </c>
      <c r="AD7" s="120">
        <f t="shared" si="0"/>
        <v>2153</v>
      </c>
    </row>
    <row r="8" spans="1:30" ht="13.5">
      <c r="A8" s="145">
        <v>3</v>
      </c>
      <c r="B8" s="247" t="s">
        <v>24</v>
      </c>
      <c r="C8" s="200" t="s">
        <v>25</v>
      </c>
      <c r="D8" s="239"/>
      <c r="E8" s="139"/>
      <c r="F8" s="186"/>
      <c r="G8" s="187"/>
      <c r="H8" s="21"/>
      <c r="I8" s="20"/>
      <c r="J8" s="20"/>
      <c r="K8" s="15"/>
      <c r="L8" s="15"/>
      <c r="M8" s="15"/>
      <c r="N8" s="20"/>
      <c r="O8" s="20"/>
      <c r="P8" s="20"/>
      <c r="Q8" s="20"/>
      <c r="R8" s="20"/>
      <c r="S8" s="22"/>
      <c r="T8" s="141"/>
      <c r="U8" s="23"/>
      <c r="V8" s="20"/>
      <c r="W8" s="23"/>
      <c r="X8" s="20"/>
      <c r="Y8" s="20"/>
      <c r="Z8" s="20"/>
      <c r="AA8" s="20"/>
      <c r="AB8" s="20"/>
      <c r="AC8" s="22"/>
      <c r="AD8" s="119">
        <f>SUM(E8:AC8)</f>
        <v>0</v>
      </c>
    </row>
    <row r="9" spans="1:30" ht="13.5">
      <c r="A9" s="145">
        <v>4</v>
      </c>
      <c r="B9" s="248"/>
      <c r="C9" s="200" t="s">
        <v>26</v>
      </c>
      <c r="D9" s="239"/>
      <c r="E9" s="138"/>
      <c r="F9" s="186"/>
      <c r="G9" s="187"/>
      <c r="H9" s="21"/>
      <c r="I9" s="20">
        <v>4</v>
      </c>
      <c r="J9" s="20"/>
      <c r="K9" s="20"/>
      <c r="L9" s="15"/>
      <c r="M9" s="15"/>
      <c r="N9" s="20"/>
      <c r="O9" s="20"/>
      <c r="P9" s="20"/>
      <c r="Q9" s="20"/>
      <c r="R9" s="20">
        <v>2</v>
      </c>
      <c r="S9" s="22"/>
      <c r="T9" s="141"/>
      <c r="U9" s="23"/>
      <c r="V9" s="20"/>
      <c r="W9" s="23"/>
      <c r="X9" s="20"/>
      <c r="Y9" s="20"/>
      <c r="Z9" s="20"/>
      <c r="AA9" s="20"/>
      <c r="AB9" s="20"/>
      <c r="AC9" s="22"/>
      <c r="AD9" s="119">
        <f>SUM(E9:AC9)</f>
        <v>6</v>
      </c>
    </row>
    <row r="10" spans="1:30" ht="13.5">
      <c r="A10" s="145">
        <v>5</v>
      </c>
      <c r="B10" s="248"/>
      <c r="C10" s="200" t="s">
        <v>27</v>
      </c>
      <c r="D10" s="239"/>
      <c r="E10" s="138"/>
      <c r="F10" s="186"/>
      <c r="G10" s="187"/>
      <c r="H10" s="21">
        <v>1</v>
      </c>
      <c r="I10" s="20"/>
      <c r="J10" s="20"/>
      <c r="K10" s="20"/>
      <c r="L10" s="15"/>
      <c r="M10" s="15"/>
      <c r="N10" s="20">
        <v>2</v>
      </c>
      <c r="O10" s="20"/>
      <c r="P10" s="20"/>
      <c r="Q10" s="20"/>
      <c r="R10" s="20"/>
      <c r="S10" s="22">
        <v>3</v>
      </c>
      <c r="T10" s="141"/>
      <c r="U10" s="23"/>
      <c r="V10" s="20"/>
      <c r="W10" s="23">
        <v>1</v>
      </c>
      <c r="X10" s="20"/>
      <c r="Y10" s="20"/>
      <c r="Z10" s="20"/>
      <c r="AA10" s="20"/>
      <c r="AB10" s="20"/>
      <c r="AC10" s="22"/>
      <c r="AD10" s="119">
        <f>SUM(E10:AC10)</f>
        <v>7</v>
      </c>
    </row>
    <row r="11" spans="1:30" ht="13.5">
      <c r="A11" s="145">
        <v>6</v>
      </c>
      <c r="B11" s="248"/>
      <c r="C11" s="200" t="s">
        <v>28</v>
      </c>
      <c r="D11" s="239"/>
      <c r="E11" s="138"/>
      <c r="F11" s="186"/>
      <c r="G11" s="187"/>
      <c r="H11" s="21">
        <v>1</v>
      </c>
      <c r="I11" s="20"/>
      <c r="J11" s="20"/>
      <c r="K11" s="15"/>
      <c r="L11" s="20"/>
      <c r="M11" s="20"/>
      <c r="N11" s="20"/>
      <c r="O11" s="20"/>
      <c r="P11" s="20"/>
      <c r="Q11" s="20"/>
      <c r="R11" s="20"/>
      <c r="S11" s="22"/>
      <c r="T11" s="141"/>
      <c r="U11" s="23"/>
      <c r="V11" s="20"/>
      <c r="W11" s="23"/>
      <c r="X11" s="20"/>
      <c r="Y11" s="20"/>
      <c r="Z11" s="20"/>
      <c r="AA11" s="20"/>
      <c r="AB11" s="20"/>
      <c r="AC11" s="22"/>
      <c r="AD11" s="119">
        <f>SUM(E11:AC11)</f>
        <v>1</v>
      </c>
    </row>
    <row r="12" spans="1:30" ht="13.5">
      <c r="A12" s="145">
        <v>7</v>
      </c>
      <c r="B12" s="248"/>
      <c r="C12" s="200" t="s">
        <v>29</v>
      </c>
      <c r="D12" s="239"/>
      <c r="E12" s="140">
        <f aca="true" t="shared" si="1" ref="E12:AD12">E8+E9</f>
        <v>0</v>
      </c>
      <c r="F12" s="185">
        <f t="shared" si="1"/>
        <v>0</v>
      </c>
      <c r="G12" s="185">
        <f t="shared" si="1"/>
        <v>0</v>
      </c>
      <c r="H12" s="16">
        <f t="shared" si="1"/>
        <v>0</v>
      </c>
      <c r="I12" s="16">
        <f t="shared" si="1"/>
        <v>4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2</v>
      </c>
      <c r="S12" s="33">
        <f t="shared" si="1"/>
        <v>0</v>
      </c>
      <c r="T12" s="142">
        <f t="shared" si="1"/>
        <v>0</v>
      </c>
      <c r="U12" s="140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33">
        <f t="shared" si="1"/>
        <v>0</v>
      </c>
      <c r="AD12" s="121">
        <f t="shared" si="1"/>
        <v>6</v>
      </c>
    </row>
    <row r="13" spans="1:30" ht="14.25" thickBot="1">
      <c r="A13" s="145">
        <v>8</v>
      </c>
      <c r="B13" s="249"/>
      <c r="C13" s="200" t="s">
        <v>30</v>
      </c>
      <c r="D13" s="239"/>
      <c r="E13" s="140">
        <f aca="true" t="shared" si="2" ref="E13:AD13">E10+E11</f>
        <v>0</v>
      </c>
      <c r="F13" s="185">
        <f t="shared" si="2"/>
        <v>0</v>
      </c>
      <c r="G13" s="185">
        <f t="shared" si="2"/>
        <v>0</v>
      </c>
      <c r="H13" s="16">
        <f t="shared" si="2"/>
        <v>2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2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33">
        <f t="shared" si="2"/>
        <v>3</v>
      </c>
      <c r="T13" s="142">
        <f t="shared" si="2"/>
        <v>0</v>
      </c>
      <c r="U13" s="140">
        <f t="shared" si="2"/>
        <v>0</v>
      </c>
      <c r="V13" s="16">
        <f t="shared" si="2"/>
        <v>0</v>
      </c>
      <c r="W13" s="16">
        <f t="shared" si="2"/>
        <v>1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6">
        <f t="shared" si="2"/>
        <v>0</v>
      </c>
      <c r="AC13" s="33">
        <f t="shared" si="2"/>
        <v>0</v>
      </c>
      <c r="AD13" s="121">
        <f t="shared" si="2"/>
        <v>8</v>
      </c>
    </row>
    <row r="14" spans="1:30" ht="13.5">
      <c r="A14" s="145">
        <v>9</v>
      </c>
      <c r="B14" s="247" t="s">
        <v>31</v>
      </c>
      <c r="C14" s="123" t="s">
        <v>32</v>
      </c>
      <c r="D14" s="154" t="s">
        <v>33</v>
      </c>
      <c r="E14" s="138"/>
      <c r="F14" s="184"/>
      <c r="G14" s="185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8"/>
      <c r="U14" s="19"/>
      <c r="V14" s="15"/>
      <c r="W14" s="19"/>
      <c r="X14" s="15"/>
      <c r="Y14" s="15"/>
      <c r="Z14" s="15"/>
      <c r="AA14" s="15"/>
      <c r="AB14" s="15"/>
      <c r="AC14" s="17"/>
      <c r="AD14" s="120">
        <f aca="true" t="shared" si="3" ref="AD14:AD21">SUM(E14:AC14)</f>
        <v>0</v>
      </c>
    </row>
    <row r="15" spans="1:30" ht="13.5">
      <c r="A15" s="144"/>
      <c r="B15" s="248"/>
      <c r="C15" s="150"/>
      <c r="D15" s="154" t="s">
        <v>34</v>
      </c>
      <c r="E15" s="138"/>
      <c r="F15" s="185"/>
      <c r="G15" s="185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7"/>
      <c r="T15" s="18"/>
      <c r="U15" s="19"/>
      <c r="V15" s="15"/>
      <c r="W15" s="19"/>
      <c r="X15" s="15"/>
      <c r="Y15" s="15"/>
      <c r="Z15" s="15"/>
      <c r="AA15" s="15"/>
      <c r="AB15" s="15"/>
      <c r="AC15" s="17"/>
      <c r="AD15" s="120">
        <f t="shared" si="3"/>
        <v>0</v>
      </c>
    </row>
    <row r="16" spans="1:30" ht="13.5">
      <c r="A16" s="145">
        <v>10</v>
      </c>
      <c r="B16" s="248"/>
      <c r="C16" s="123" t="s">
        <v>26</v>
      </c>
      <c r="D16" s="154" t="s">
        <v>33</v>
      </c>
      <c r="E16" s="138"/>
      <c r="F16" s="184"/>
      <c r="G16" s="185"/>
      <c r="H16" s="16">
        <v>37</v>
      </c>
      <c r="I16" s="15">
        <v>19</v>
      </c>
      <c r="J16" s="15">
        <v>1</v>
      </c>
      <c r="K16" s="15">
        <v>4</v>
      </c>
      <c r="L16" s="15">
        <v>110</v>
      </c>
      <c r="M16" s="15">
        <v>1</v>
      </c>
      <c r="N16" s="15">
        <v>115</v>
      </c>
      <c r="O16" s="15">
        <v>6</v>
      </c>
      <c r="P16" s="15"/>
      <c r="Q16" s="15"/>
      <c r="R16" s="15">
        <v>2</v>
      </c>
      <c r="S16" s="17"/>
      <c r="T16" s="18"/>
      <c r="U16" s="19">
        <v>1</v>
      </c>
      <c r="V16" s="15"/>
      <c r="W16" s="19"/>
      <c r="X16" s="15"/>
      <c r="Y16" s="15">
        <v>5</v>
      </c>
      <c r="Z16" s="15">
        <v>18</v>
      </c>
      <c r="AA16" s="15">
        <v>1</v>
      </c>
      <c r="AB16" s="15"/>
      <c r="AC16" s="17">
        <v>7</v>
      </c>
      <c r="AD16" s="120">
        <f t="shared" si="3"/>
        <v>327</v>
      </c>
    </row>
    <row r="17" spans="1:30" ht="13.5">
      <c r="A17" s="145" t="s">
        <v>35</v>
      </c>
      <c r="B17" s="248"/>
      <c r="C17" s="150"/>
      <c r="D17" s="154" t="s">
        <v>34</v>
      </c>
      <c r="E17" s="138"/>
      <c r="F17" s="184"/>
      <c r="G17" s="185"/>
      <c r="H17" s="16">
        <f>29.58*60</f>
        <v>1774.8</v>
      </c>
      <c r="I17" s="16">
        <f>17.04*60</f>
        <v>1022.4</v>
      </c>
      <c r="J17" s="15">
        <f>25*60</f>
        <v>1500</v>
      </c>
      <c r="K17" s="15">
        <f>2.16*60</f>
        <v>129.60000000000002</v>
      </c>
      <c r="L17" s="15">
        <f>60*60</f>
        <v>3600</v>
      </c>
      <c r="M17" s="15">
        <v>88</v>
      </c>
      <c r="N17" s="15">
        <f>93.06*60</f>
        <v>5583.6</v>
      </c>
      <c r="O17" s="15">
        <f>2.8*60</f>
        <v>168</v>
      </c>
      <c r="P17" s="15"/>
      <c r="Q17" s="15"/>
      <c r="R17" s="15">
        <v>12</v>
      </c>
      <c r="S17" s="17"/>
      <c r="T17" s="18"/>
      <c r="U17" s="19">
        <v>54</v>
      </c>
      <c r="V17" s="15"/>
      <c r="W17" s="19"/>
      <c r="X17" s="15"/>
      <c r="Y17" s="15">
        <v>179</v>
      </c>
      <c r="Z17" s="15">
        <f>9.9*60</f>
        <v>594</v>
      </c>
      <c r="AA17" s="15">
        <f>2.4*60</f>
        <v>144</v>
      </c>
      <c r="AB17" s="15"/>
      <c r="AC17" s="17">
        <v>249</v>
      </c>
      <c r="AD17" s="120">
        <f t="shared" si="3"/>
        <v>15098.400000000001</v>
      </c>
    </row>
    <row r="18" spans="1:30" ht="13.5">
      <c r="A18" s="145">
        <v>11</v>
      </c>
      <c r="B18" s="248"/>
      <c r="C18" s="123" t="s">
        <v>27</v>
      </c>
      <c r="D18" s="154" t="s">
        <v>33</v>
      </c>
      <c r="E18" s="138"/>
      <c r="F18" s="184"/>
      <c r="G18" s="185"/>
      <c r="H18" s="16">
        <v>9</v>
      </c>
      <c r="I18" s="15"/>
      <c r="J18" s="15"/>
      <c r="K18" s="15"/>
      <c r="L18" s="15">
        <v>27</v>
      </c>
      <c r="M18" s="15">
        <v>8</v>
      </c>
      <c r="N18" s="15">
        <v>68</v>
      </c>
      <c r="O18" s="15"/>
      <c r="P18" s="15"/>
      <c r="Q18" s="15"/>
      <c r="R18" s="15"/>
      <c r="S18" s="17"/>
      <c r="T18" s="18"/>
      <c r="U18" s="19"/>
      <c r="V18" s="15"/>
      <c r="W18" s="19"/>
      <c r="X18" s="15"/>
      <c r="Y18" s="15">
        <v>2</v>
      </c>
      <c r="Z18" s="15">
        <v>2</v>
      </c>
      <c r="AA18" s="15"/>
      <c r="AB18" s="15"/>
      <c r="AC18" s="17"/>
      <c r="AD18" s="120">
        <f t="shared" si="3"/>
        <v>116</v>
      </c>
    </row>
    <row r="19" spans="1:30" ht="13.5">
      <c r="A19" s="144"/>
      <c r="B19" s="248"/>
      <c r="C19" s="150"/>
      <c r="D19" s="154" t="s">
        <v>34</v>
      </c>
      <c r="E19" s="138"/>
      <c r="F19" s="185"/>
      <c r="G19" s="185"/>
      <c r="H19" s="16">
        <f>7.24*60</f>
        <v>434.40000000000003</v>
      </c>
      <c r="I19" s="16"/>
      <c r="J19" s="15"/>
      <c r="K19" s="15"/>
      <c r="L19" s="15">
        <f>28*60</f>
        <v>1680</v>
      </c>
      <c r="M19" s="15">
        <v>1977</v>
      </c>
      <c r="N19" s="15">
        <f>123.6*60</f>
        <v>7416</v>
      </c>
      <c r="O19" s="15"/>
      <c r="P19" s="15"/>
      <c r="Q19" s="15"/>
      <c r="R19" s="15"/>
      <c r="S19" s="17"/>
      <c r="T19" s="18"/>
      <c r="U19" s="19"/>
      <c r="V19" s="15"/>
      <c r="W19" s="19"/>
      <c r="X19" s="15"/>
      <c r="Y19" s="15">
        <v>500</v>
      </c>
      <c r="Z19" s="15">
        <f>4.5*60</f>
        <v>270</v>
      </c>
      <c r="AA19" s="15"/>
      <c r="AB19" s="15"/>
      <c r="AC19" s="17"/>
      <c r="AD19" s="120">
        <f t="shared" si="3"/>
        <v>12277.4</v>
      </c>
    </row>
    <row r="20" spans="1:30" ht="13.5">
      <c r="A20" s="145">
        <v>12</v>
      </c>
      <c r="B20" s="248"/>
      <c r="C20" s="123" t="s">
        <v>28</v>
      </c>
      <c r="D20" s="154" t="s">
        <v>33</v>
      </c>
      <c r="E20" s="138">
        <v>3</v>
      </c>
      <c r="F20" s="184"/>
      <c r="G20" s="185"/>
      <c r="H20" s="16">
        <v>29</v>
      </c>
      <c r="I20" s="15"/>
      <c r="J20" s="15">
        <v>2</v>
      </c>
      <c r="K20" s="15"/>
      <c r="L20" s="15">
        <v>13</v>
      </c>
      <c r="M20" s="15">
        <v>26</v>
      </c>
      <c r="N20" s="15">
        <v>35</v>
      </c>
      <c r="O20" s="15">
        <v>5</v>
      </c>
      <c r="P20" s="15"/>
      <c r="Q20" s="15"/>
      <c r="R20" s="15"/>
      <c r="S20" s="17">
        <v>3</v>
      </c>
      <c r="T20" s="18"/>
      <c r="U20" s="19">
        <v>8</v>
      </c>
      <c r="V20" s="15">
        <v>3</v>
      </c>
      <c r="W20" s="19"/>
      <c r="X20" s="15"/>
      <c r="Y20" s="15">
        <v>3</v>
      </c>
      <c r="Z20" s="15">
        <v>5</v>
      </c>
      <c r="AA20" s="15"/>
      <c r="AB20" s="15"/>
      <c r="AC20" s="17">
        <v>5</v>
      </c>
      <c r="AD20" s="120">
        <f t="shared" si="3"/>
        <v>140</v>
      </c>
    </row>
    <row r="21" spans="1:30" ht="13.5">
      <c r="A21" s="144"/>
      <c r="B21" s="248"/>
      <c r="C21" s="150"/>
      <c r="D21" s="154" t="s">
        <v>34</v>
      </c>
      <c r="E21" s="138">
        <v>56</v>
      </c>
      <c r="F21" s="185"/>
      <c r="G21" s="185"/>
      <c r="H21" s="16">
        <f>14.06*60</f>
        <v>843.6</v>
      </c>
      <c r="I21" s="16"/>
      <c r="J21" s="15">
        <f>16*60</f>
        <v>960</v>
      </c>
      <c r="K21" s="15"/>
      <c r="L21" s="15">
        <f>4*60</f>
        <v>240</v>
      </c>
      <c r="M21" s="15">
        <v>1339</v>
      </c>
      <c r="N21" s="15">
        <f>28.4*60</f>
        <v>1704</v>
      </c>
      <c r="O21" s="15">
        <f>1.2*60</f>
        <v>72</v>
      </c>
      <c r="P21" s="15"/>
      <c r="Q21" s="15"/>
      <c r="R21" s="15"/>
      <c r="S21" s="17">
        <v>178</v>
      </c>
      <c r="T21" s="18"/>
      <c r="U21" s="19">
        <f>2.42*60</f>
        <v>145.2</v>
      </c>
      <c r="V21" s="15">
        <f>3.27*60</f>
        <v>196.2</v>
      </c>
      <c r="W21" s="19"/>
      <c r="X21" s="15"/>
      <c r="Y21" s="15">
        <v>75</v>
      </c>
      <c r="Z21" s="15">
        <f>5.1*60</f>
        <v>306</v>
      </c>
      <c r="AA21" s="15"/>
      <c r="AB21" s="15"/>
      <c r="AC21" s="17">
        <v>248</v>
      </c>
      <c r="AD21" s="120">
        <f t="shared" si="3"/>
        <v>6363</v>
      </c>
    </row>
    <row r="22" spans="1:30" ht="13.5">
      <c r="A22" s="145">
        <v>13</v>
      </c>
      <c r="B22" s="248"/>
      <c r="C22" s="200" t="s">
        <v>36</v>
      </c>
      <c r="D22" s="239"/>
      <c r="E22" s="138">
        <f aca="true" t="shared" si="4" ref="E22:AD22">E14+E16+E18+E20</f>
        <v>3</v>
      </c>
      <c r="F22" s="184">
        <f t="shared" si="4"/>
        <v>0</v>
      </c>
      <c r="G22" s="184">
        <f t="shared" si="4"/>
        <v>0</v>
      </c>
      <c r="H22" s="15">
        <f t="shared" si="4"/>
        <v>75</v>
      </c>
      <c r="I22" s="15">
        <f t="shared" si="4"/>
        <v>19</v>
      </c>
      <c r="J22" s="15">
        <f t="shared" si="4"/>
        <v>3</v>
      </c>
      <c r="K22" s="15">
        <f t="shared" si="4"/>
        <v>4</v>
      </c>
      <c r="L22" s="15">
        <f t="shared" si="4"/>
        <v>150</v>
      </c>
      <c r="M22" s="15">
        <f t="shared" si="4"/>
        <v>35</v>
      </c>
      <c r="N22" s="15">
        <f t="shared" si="4"/>
        <v>218</v>
      </c>
      <c r="O22" s="15">
        <f t="shared" si="4"/>
        <v>11</v>
      </c>
      <c r="P22" s="15">
        <f t="shared" si="4"/>
        <v>0</v>
      </c>
      <c r="Q22" s="15">
        <f t="shared" si="4"/>
        <v>0</v>
      </c>
      <c r="R22" s="15">
        <f t="shared" si="4"/>
        <v>2</v>
      </c>
      <c r="S22" s="15">
        <f t="shared" si="4"/>
        <v>3</v>
      </c>
      <c r="T22" s="11">
        <f t="shared" si="4"/>
        <v>0</v>
      </c>
      <c r="U22" s="15">
        <f t="shared" si="4"/>
        <v>9</v>
      </c>
      <c r="V22" s="15">
        <f t="shared" si="4"/>
        <v>3</v>
      </c>
      <c r="W22" s="15">
        <f t="shared" si="4"/>
        <v>0</v>
      </c>
      <c r="X22" s="15">
        <f t="shared" si="4"/>
        <v>0</v>
      </c>
      <c r="Y22" s="15">
        <f t="shared" si="4"/>
        <v>10</v>
      </c>
      <c r="Z22" s="15">
        <f t="shared" si="4"/>
        <v>25</v>
      </c>
      <c r="AA22" s="15">
        <f t="shared" si="4"/>
        <v>1</v>
      </c>
      <c r="AB22" s="15">
        <f t="shared" si="4"/>
        <v>0</v>
      </c>
      <c r="AC22" s="17">
        <f t="shared" si="4"/>
        <v>12</v>
      </c>
      <c r="AD22" s="120">
        <f t="shared" si="4"/>
        <v>583</v>
      </c>
    </row>
    <row r="23" spans="1:30" ht="14.25" thickBot="1">
      <c r="A23" s="145">
        <v>14</v>
      </c>
      <c r="B23" s="249"/>
      <c r="C23" s="200" t="s">
        <v>37</v>
      </c>
      <c r="D23" s="239"/>
      <c r="E23" s="138">
        <f>E15+E17+E19+E21</f>
        <v>56</v>
      </c>
      <c r="F23" s="184">
        <f>F15+F17+F19+F21</f>
        <v>0</v>
      </c>
      <c r="G23" s="184">
        <f>G15+G17+G19+G21</f>
        <v>0</v>
      </c>
      <c r="H23" s="15">
        <f>H15+H17+H19+H21</f>
        <v>3052.7999999999997</v>
      </c>
      <c r="I23" s="15">
        <f>I15+I17+I19+I21</f>
        <v>1022.4</v>
      </c>
      <c r="J23" s="15">
        <f aca="true" t="shared" si="5" ref="J23:AD23">J15+J17+J19+J21</f>
        <v>2460</v>
      </c>
      <c r="K23" s="15">
        <f t="shared" si="5"/>
        <v>129.60000000000002</v>
      </c>
      <c r="L23" s="15">
        <f t="shared" si="5"/>
        <v>5520</v>
      </c>
      <c r="M23" s="15">
        <f t="shared" si="5"/>
        <v>3404</v>
      </c>
      <c r="N23" s="15">
        <f t="shared" si="5"/>
        <v>14703.6</v>
      </c>
      <c r="O23" s="15">
        <f t="shared" si="5"/>
        <v>240</v>
      </c>
      <c r="P23" s="15">
        <f t="shared" si="5"/>
        <v>0</v>
      </c>
      <c r="Q23" s="15">
        <f t="shared" si="5"/>
        <v>0</v>
      </c>
      <c r="R23" s="15">
        <f t="shared" si="5"/>
        <v>12</v>
      </c>
      <c r="S23" s="15">
        <f t="shared" si="5"/>
        <v>178</v>
      </c>
      <c r="T23" s="15">
        <f t="shared" si="5"/>
        <v>0</v>
      </c>
      <c r="U23" s="15">
        <f t="shared" si="5"/>
        <v>199.2</v>
      </c>
      <c r="V23" s="15">
        <f t="shared" si="5"/>
        <v>196.2</v>
      </c>
      <c r="W23" s="15">
        <f t="shared" si="5"/>
        <v>0</v>
      </c>
      <c r="X23" s="15">
        <f t="shared" si="5"/>
        <v>0</v>
      </c>
      <c r="Y23" s="15">
        <f t="shared" si="5"/>
        <v>754</v>
      </c>
      <c r="Z23" s="15">
        <f t="shared" si="5"/>
        <v>1170</v>
      </c>
      <c r="AA23" s="15">
        <f t="shared" si="5"/>
        <v>144</v>
      </c>
      <c r="AB23" s="15">
        <f t="shared" si="5"/>
        <v>0</v>
      </c>
      <c r="AC23" s="17">
        <f t="shared" si="5"/>
        <v>497</v>
      </c>
      <c r="AD23" s="120">
        <f t="shared" si="5"/>
        <v>33738.8</v>
      </c>
    </row>
    <row r="24" spans="1:30" ht="13.5">
      <c r="A24" s="145">
        <v>16</v>
      </c>
      <c r="B24" s="241" t="s">
        <v>39</v>
      </c>
      <c r="C24" s="200"/>
      <c r="D24" s="239"/>
      <c r="E24" s="138">
        <f aca="true" t="shared" si="6" ref="E24:AD24">E7-E12</f>
        <v>14</v>
      </c>
      <c r="F24" s="184">
        <f t="shared" si="6"/>
        <v>0</v>
      </c>
      <c r="G24" s="184">
        <f t="shared" si="6"/>
        <v>0</v>
      </c>
      <c r="H24" s="15">
        <f t="shared" si="6"/>
        <v>326</v>
      </c>
      <c r="I24" s="15">
        <f t="shared" si="6"/>
        <v>27</v>
      </c>
      <c r="J24" s="15">
        <f t="shared" si="6"/>
        <v>14</v>
      </c>
      <c r="K24" s="15">
        <f t="shared" si="6"/>
        <v>13</v>
      </c>
      <c r="L24" s="15">
        <f t="shared" si="6"/>
        <v>289</v>
      </c>
      <c r="M24" s="15">
        <f t="shared" si="6"/>
        <v>124</v>
      </c>
      <c r="N24" s="15">
        <f t="shared" si="6"/>
        <v>839</v>
      </c>
      <c r="O24" s="15">
        <f t="shared" si="6"/>
        <v>75</v>
      </c>
      <c r="P24" s="15">
        <f t="shared" si="6"/>
        <v>0</v>
      </c>
      <c r="Q24" s="15">
        <f t="shared" si="6"/>
        <v>4</v>
      </c>
      <c r="R24" s="15">
        <f t="shared" si="6"/>
        <v>29</v>
      </c>
      <c r="S24" s="15">
        <f t="shared" si="6"/>
        <v>9</v>
      </c>
      <c r="T24" s="15">
        <f t="shared" si="6"/>
        <v>0</v>
      </c>
      <c r="U24" s="15">
        <f t="shared" si="6"/>
        <v>31</v>
      </c>
      <c r="V24" s="15">
        <f t="shared" si="6"/>
        <v>27</v>
      </c>
      <c r="W24" s="15">
        <f t="shared" si="6"/>
        <v>31</v>
      </c>
      <c r="X24" s="15">
        <f t="shared" si="6"/>
        <v>0</v>
      </c>
      <c r="Y24" s="15">
        <f t="shared" si="6"/>
        <v>108</v>
      </c>
      <c r="Z24" s="15">
        <f t="shared" si="6"/>
        <v>111</v>
      </c>
      <c r="AA24" s="15">
        <f t="shared" si="6"/>
        <v>31</v>
      </c>
      <c r="AB24" s="15">
        <f t="shared" si="6"/>
        <v>14</v>
      </c>
      <c r="AC24" s="17">
        <f t="shared" si="6"/>
        <v>31</v>
      </c>
      <c r="AD24" s="120">
        <f t="shared" si="6"/>
        <v>2147</v>
      </c>
    </row>
    <row r="25" spans="1:30" ht="14.25" thickBot="1">
      <c r="A25" s="152">
        <v>17</v>
      </c>
      <c r="B25" s="232" t="s">
        <v>40</v>
      </c>
      <c r="C25" s="216"/>
      <c r="D25" s="233"/>
      <c r="E25" s="156">
        <f aca="true" t="shared" si="7" ref="E25:AD25">E24-E22-E13</f>
        <v>11</v>
      </c>
      <c r="F25" s="192">
        <f t="shared" si="7"/>
        <v>0</v>
      </c>
      <c r="G25" s="192">
        <f t="shared" si="7"/>
        <v>0</v>
      </c>
      <c r="H25" s="85">
        <f t="shared" si="7"/>
        <v>249</v>
      </c>
      <c r="I25" s="85">
        <f t="shared" si="7"/>
        <v>8</v>
      </c>
      <c r="J25" s="85">
        <f t="shared" si="7"/>
        <v>11</v>
      </c>
      <c r="K25" s="85">
        <f t="shared" si="7"/>
        <v>9</v>
      </c>
      <c r="L25" s="85">
        <f t="shared" si="7"/>
        <v>139</v>
      </c>
      <c r="M25" s="85">
        <f t="shared" si="7"/>
        <v>89</v>
      </c>
      <c r="N25" s="85">
        <f t="shared" si="7"/>
        <v>619</v>
      </c>
      <c r="O25" s="85">
        <f t="shared" si="7"/>
        <v>64</v>
      </c>
      <c r="P25" s="85">
        <f t="shared" si="7"/>
        <v>0</v>
      </c>
      <c r="Q25" s="85">
        <f t="shared" si="7"/>
        <v>4</v>
      </c>
      <c r="R25" s="85">
        <f t="shared" si="7"/>
        <v>27</v>
      </c>
      <c r="S25" s="85">
        <f t="shared" si="7"/>
        <v>3</v>
      </c>
      <c r="T25" s="85">
        <f t="shared" si="7"/>
        <v>0</v>
      </c>
      <c r="U25" s="85">
        <f t="shared" si="7"/>
        <v>22</v>
      </c>
      <c r="V25" s="85">
        <f t="shared" si="7"/>
        <v>24</v>
      </c>
      <c r="W25" s="85">
        <f t="shared" si="7"/>
        <v>30</v>
      </c>
      <c r="X25" s="85">
        <f t="shared" si="7"/>
        <v>0</v>
      </c>
      <c r="Y25" s="85">
        <f t="shared" si="7"/>
        <v>98</v>
      </c>
      <c r="Z25" s="85">
        <f t="shared" si="7"/>
        <v>86</v>
      </c>
      <c r="AA25" s="85">
        <f t="shared" si="7"/>
        <v>30</v>
      </c>
      <c r="AB25" s="85">
        <f t="shared" si="7"/>
        <v>14</v>
      </c>
      <c r="AC25" s="112">
        <f t="shared" si="7"/>
        <v>19</v>
      </c>
      <c r="AD25" s="122">
        <f t="shared" si="7"/>
        <v>1556</v>
      </c>
    </row>
    <row r="26" spans="1:30" ht="14.25" thickBot="1">
      <c r="A26" s="168">
        <v>18</v>
      </c>
      <c r="B26" s="244" t="s">
        <v>41</v>
      </c>
      <c r="C26" s="245"/>
      <c r="D26" s="246"/>
      <c r="E26" s="169">
        <f aca="true" t="shared" si="8" ref="E26:AD26">IF(E24=0,0,(E25+E16)/E24)</f>
        <v>0.7857142857142857</v>
      </c>
      <c r="F26" s="193">
        <f t="shared" si="8"/>
        <v>0</v>
      </c>
      <c r="G26" s="193">
        <f t="shared" si="8"/>
        <v>0</v>
      </c>
      <c r="H26" s="170">
        <f t="shared" si="8"/>
        <v>0.8773006134969326</v>
      </c>
      <c r="I26" s="170">
        <f t="shared" si="8"/>
        <v>1</v>
      </c>
      <c r="J26" s="170">
        <f t="shared" si="8"/>
        <v>0.8571428571428571</v>
      </c>
      <c r="K26" s="170">
        <f t="shared" si="8"/>
        <v>1</v>
      </c>
      <c r="L26" s="170">
        <f t="shared" si="8"/>
        <v>0.8615916955017301</v>
      </c>
      <c r="M26" s="170">
        <f t="shared" si="8"/>
        <v>0.7258064516129032</v>
      </c>
      <c r="N26" s="170">
        <f t="shared" si="8"/>
        <v>0.8748510131108462</v>
      </c>
      <c r="O26" s="170">
        <f t="shared" si="8"/>
        <v>0.9333333333333333</v>
      </c>
      <c r="P26" s="170">
        <f t="shared" si="8"/>
        <v>0</v>
      </c>
      <c r="Q26" s="170">
        <f t="shared" si="8"/>
        <v>1</v>
      </c>
      <c r="R26" s="170">
        <f t="shared" si="8"/>
        <v>1</v>
      </c>
      <c r="S26" s="170">
        <f t="shared" si="8"/>
        <v>0.3333333333333333</v>
      </c>
      <c r="T26" s="170">
        <f t="shared" si="8"/>
        <v>0</v>
      </c>
      <c r="U26" s="170">
        <f t="shared" si="8"/>
        <v>0.7419354838709677</v>
      </c>
      <c r="V26" s="170">
        <f t="shared" si="8"/>
        <v>0.8888888888888888</v>
      </c>
      <c r="W26" s="170">
        <f t="shared" si="8"/>
        <v>0.967741935483871</v>
      </c>
      <c r="X26" s="170">
        <f t="shared" si="8"/>
        <v>0</v>
      </c>
      <c r="Y26" s="170">
        <f t="shared" si="8"/>
        <v>0.9537037037037037</v>
      </c>
      <c r="Z26" s="170">
        <f t="shared" si="8"/>
        <v>0.9369369369369369</v>
      </c>
      <c r="AA26" s="170">
        <f t="shared" si="8"/>
        <v>1</v>
      </c>
      <c r="AB26" s="170">
        <f t="shared" si="8"/>
        <v>1</v>
      </c>
      <c r="AC26" s="171">
        <f t="shared" si="8"/>
        <v>0.8387096774193549</v>
      </c>
      <c r="AD26" s="115">
        <f t="shared" si="8"/>
        <v>0.8770377270610153</v>
      </c>
    </row>
    <row r="27" spans="1:30" ht="14.25" thickBot="1">
      <c r="A27" s="168">
        <v>19</v>
      </c>
      <c r="B27" s="244" t="s">
        <v>42</v>
      </c>
      <c r="C27" s="245"/>
      <c r="D27" s="246"/>
      <c r="E27" s="172">
        <f aca="true" t="shared" si="9" ref="E27:AD27">+E23/E22</f>
        <v>18.666666666666668</v>
      </c>
      <c r="F27" s="194">
        <v>0</v>
      </c>
      <c r="G27" s="194">
        <v>0</v>
      </c>
      <c r="H27" s="173">
        <f t="shared" si="9"/>
        <v>40.70399999999999</v>
      </c>
      <c r="I27" s="173">
        <f t="shared" si="9"/>
        <v>53.810526315789474</v>
      </c>
      <c r="J27" s="173">
        <f t="shared" si="9"/>
        <v>820</v>
      </c>
      <c r="K27" s="173">
        <f t="shared" si="9"/>
        <v>32.400000000000006</v>
      </c>
      <c r="L27" s="173">
        <f t="shared" si="9"/>
        <v>36.8</v>
      </c>
      <c r="M27" s="173">
        <f t="shared" si="9"/>
        <v>97.25714285714285</v>
      </c>
      <c r="N27" s="173">
        <f t="shared" si="9"/>
        <v>67.44770642201836</v>
      </c>
      <c r="O27" s="173">
        <f t="shared" si="9"/>
        <v>21.818181818181817</v>
      </c>
      <c r="P27" s="173">
        <v>0</v>
      </c>
      <c r="Q27" s="173">
        <v>0</v>
      </c>
      <c r="R27" s="173">
        <f t="shared" si="9"/>
        <v>6</v>
      </c>
      <c r="S27" s="173">
        <f t="shared" si="9"/>
        <v>59.333333333333336</v>
      </c>
      <c r="T27" s="173">
        <v>0</v>
      </c>
      <c r="U27" s="173">
        <f t="shared" si="9"/>
        <v>22.133333333333333</v>
      </c>
      <c r="V27" s="173">
        <f t="shared" si="9"/>
        <v>65.39999999999999</v>
      </c>
      <c r="W27" s="173">
        <v>0</v>
      </c>
      <c r="X27" s="173">
        <v>0</v>
      </c>
      <c r="Y27" s="173">
        <f t="shared" si="9"/>
        <v>75.4</v>
      </c>
      <c r="Z27" s="173">
        <f t="shared" si="9"/>
        <v>46.8</v>
      </c>
      <c r="AA27" s="173">
        <f t="shared" si="9"/>
        <v>144</v>
      </c>
      <c r="AB27" s="173">
        <v>0</v>
      </c>
      <c r="AC27" s="174">
        <f t="shared" si="9"/>
        <v>41.416666666666664</v>
      </c>
      <c r="AD27" s="104">
        <f t="shared" si="9"/>
        <v>57.871012006861065</v>
      </c>
    </row>
  </sheetData>
  <mergeCells count="21">
    <mergeCell ref="A1:AD1"/>
    <mergeCell ref="A2:AD2"/>
    <mergeCell ref="A3:AD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.7874015748031497" right="0.7874015748031497" top="0.984251968503937" bottom="0.984251968503937" header="0" footer="0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X4" sqref="X1:X16384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5" width="5.28125" style="0" bestFit="1" customWidth="1"/>
    <col min="6" max="7" width="6.00390625" style="0" hidden="1" customWidth="1"/>
    <col min="8" max="8" width="6.00390625" style="0" bestFit="1" customWidth="1"/>
    <col min="9" max="9" width="6.28125" style="0" bestFit="1" customWidth="1"/>
    <col min="10" max="13" width="6.00390625" style="0" bestFit="1" customWidth="1"/>
    <col min="14" max="14" width="7.00390625" style="0" bestFit="1" customWidth="1"/>
    <col min="15" max="15" width="5.28125" style="0" bestFit="1" customWidth="1"/>
    <col min="16" max="16" width="6.28125" style="0" bestFit="1" customWidth="1"/>
    <col min="17" max="17" width="5.7109375" style="0" customWidth="1"/>
    <col min="18" max="18" width="6.00390625" style="0" bestFit="1" customWidth="1"/>
    <col min="19" max="19" width="5.28125" style="0" customWidth="1"/>
    <col min="20" max="23" width="5.28125" style="0" bestFit="1" customWidth="1"/>
    <col min="24" max="24" width="6.57421875" style="0" hidden="1" customWidth="1"/>
    <col min="25" max="25" width="6.00390625" style="0" bestFit="1" customWidth="1"/>
    <col min="26" max="29" width="5.28125" style="0" bestFit="1" customWidth="1"/>
    <col min="30" max="30" width="7.00390625" style="0" bestFit="1" customWidth="1"/>
    <col min="31" max="80" width="6.421875" style="0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2" t="s">
        <v>62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 thickTop="1">
      <c r="A4" s="1" t="s">
        <v>0</v>
      </c>
      <c r="B4" s="204" t="s">
        <v>1</v>
      </c>
      <c r="C4" s="205"/>
      <c r="D4" s="206"/>
      <c r="E4" s="2" t="s">
        <v>20</v>
      </c>
      <c r="F4" s="2" t="s">
        <v>48</v>
      </c>
      <c r="G4" s="2" t="s">
        <v>3</v>
      </c>
      <c r="H4" s="2" t="s">
        <v>49</v>
      </c>
      <c r="I4" s="2" t="s">
        <v>2</v>
      </c>
      <c r="J4" s="2" t="s">
        <v>19</v>
      </c>
      <c r="K4" s="32" t="s">
        <v>50</v>
      </c>
      <c r="L4" s="2" t="s">
        <v>15</v>
      </c>
      <c r="M4" s="2" t="s">
        <v>4</v>
      </c>
      <c r="N4" s="2" t="s">
        <v>5</v>
      </c>
      <c r="O4" s="2" t="s">
        <v>7</v>
      </c>
      <c r="P4" s="2" t="s">
        <v>6</v>
      </c>
      <c r="Q4" s="3" t="s">
        <v>8</v>
      </c>
      <c r="R4" s="3" t="s">
        <v>9</v>
      </c>
      <c r="S4" s="3" t="s">
        <v>54</v>
      </c>
      <c r="T4" s="2" t="s">
        <v>10</v>
      </c>
      <c r="U4" s="2" t="s">
        <v>17</v>
      </c>
      <c r="V4" s="3" t="s">
        <v>11</v>
      </c>
      <c r="W4" s="3" t="s">
        <v>12</v>
      </c>
      <c r="X4" s="3" t="s">
        <v>13</v>
      </c>
      <c r="Y4" s="3" t="s">
        <v>14</v>
      </c>
      <c r="Z4" s="3" t="s">
        <v>46</v>
      </c>
      <c r="AA4" s="3" t="s">
        <v>18</v>
      </c>
      <c r="AB4" s="3" t="s">
        <v>16</v>
      </c>
      <c r="AC4" s="3" t="s">
        <v>47</v>
      </c>
      <c r="AD4" s="4" t="s">
        <v>21</v>
      </c>
    </row>
    <row r="5" spans="1:30" ht="14.25" thickTop="1">
      <c r="A5" s="5">
        <v>1</v>
      </c>
      <c r="B5" s="196" t="s">
        <v>22</v>
      </c>
      <c r="C5" s="197"/>
      <c r="D5" s="195"/>
      <c r="E5" s="6">
        <v>13</v>
      </c>
      <c r="F5" s="182"/>
      <c r="G5" s="183"/>
      <c r="H5" s="7">
        <v>300</v>
      </c>
      <c r="I5" s="6">
        <v>30</v>
      </c>
      <c r="J5" s="6">
        <v>13</v>
      </c>
      <c r="K5" s="6">
        <v>17</v>
      </c>
      <c r="L5" s="6">
        <v>286</v>
      </c>
      <c r="M5" s="6">
        <v>120</v>
      </c>
      <c r="N5" s="6">
        <v>830</v>
      </c>
      <c r="O5" s="6">
        <v>73</v>
      </c>
      <c r="P5" s="6">
        <v>210</v>
      </c>
      <c r="Q5" s="6">
        <v>4</v>
      </c>
      <c r="R5" s="6">
        <v>30</v>
      </c>
      <c r="S5" s="8">
        <v>9</v>
      </c>
      <c r="T5" s="8">
        <v>30</v>
      </c>
      <c r="U5" s="180">
        <v>30</v>
      </c>
      <c r="V5" s="11">
        <v>30</v>
      </c>
      <c r="W5" s="10">
        <v>25</v>
      </c>
      <c r="X5" s="11"/>
      <c r="Y5" s="11">
        <v>104</v>
      </c>
      <c r="Z5" s="11">
        <v>103</v>
      </c>
      <c r="AA5" s="11">
        <v>60</v>
      </c>
      <c r="AB5" s="11">
        <v>13</v>
      </c>
      <c r="AC5" s="12">
        <v>30</v>
      </c>
      <c r="AD5" s="13">
        <f>SUM(E5:AC5)</f>
        <v>2360</v>
      </c>
    </row>
    <row r="6" spans="1:30" ht="13.5">
      <c r="A6" s="14">
        <v>2</v>
      </c>
      <c r="B6" s="198" t="s">
        <v>23</v>
      </c>
      <c r="C6" s="200"/>
      <c r="D6" s="199"/>
      <c r="E6" s="15"/>
      <c r="F6" s="184"/>
      <c r="G6" s="185"/>
      <c r="H6" s="16"/>
      <c r="I6" s="15"/>
      <c r="J6" s="15"/>
      <c r="K6" s="15">
        <v>1</v>
      </c>
      <c r="L6" s="15"/>
      <c r="M6" s="15"/>
      <c r="N6" s="15"/>
      <c r="O6" s="15"/>
      <c r="P6" s="15"/>
      <c r="Q6" s="15"/>
      <c r="R6" s="15"/>
      <c r="S6" s="17"/>
      <c r="T6" s="17"/>
      <c r="U6" s="125"/>
      <c r="V6" s="15"/>
      <c r="W6" s="19"/>
      <c r="X6" s="15"/>
      <c r="Y6" s="15"/>
      <c r="Z6" s="15"/>
      <c r="AA6" s="15"/>
      <c r="AB6" s="15"/>
      <c r="AC6" s="17"/>
      <c r="AD6" s="13">
        <f>SUM(E6:AC6)</f>
        <v>1</v>
      </c>
    </row>
    <row r="7" spans="1:30" ht="13.5">
      <c r="A7" s="14">
        <v>15</v>
      </c>
      <c r="B7" s="198" t="s">
        <v>38</v>
      </c>
      <c r="C7" s="200"/>
      <c r="D7" s="199"/>
      <c r="E7" s="15">
        <f aca="true" t="shared" si="0" ref="E7:AD7">SUM(E5:E6)</f>
        <v>13</v>
      </c>
      <c r="F7" s="184">
        <f t="shared" si="0"/>
        <v>0</v>
      </c>
      <c r="G7" s="184">
        <f t="shared" si="0"/>
        <v>0</v>
      </c>
      <c r="H7" s="15">
        <f t="shared" si="0"/>
        <v>300</v>
      </c>
      <c r="I7" s="15">
        <f t="shared" si="0"/>
        <v>30</v>
      </c>
      <c r="J7" s="15">
        <f t="shared" si="0"/>
        <v>13</v>
      </c>
      <c r="K7" s="15">
        <f t="shared" si="0"/>
        <v>18</v>
      </c>
      <c r="L7" s="15">
        <f t="shared" si="0"/>
        <v>286</v>
      </c>
      <c r="M7" s="15">
        <f t="shared" si="0"/>
        <v>120</v>
      </c>
      <c r="N7" s="15">
        <f t="shared" si="0"/>
        <v>830</v>
      </c>
      <c r="O7" s="15">
        <f t="shared" si="0"/>
        <v>73</v>
      </c>
      <c r="P7" s="15">
        <f t="shared" si="0"/>
        <v>210</v>
      </c>
      <c r="Q7" s="15">
        <f t="shared" si="0"/>
        <v>4</v>
      </c>
      <c r="R7" s="15">
        <f t="shared" si="0"/>
        <v>30</v>
      </c>
      <c r="S7" s="15">
        <f t="shared" si="0"/>
        <v>9</v>
      </c>
      <c r="T7" s="17">
        <f t="shared" si="0"/>
        <v>30</v>
      </c>
      <c r="U7" s="125">
        <f t="shared" si="0"/>
        <v>30</v>
      </c>
      <c r="V7" s="15">
        <f t="shared" si="0"/>
        <v>30</v>
      </c>
      <c r="W7" s="15">
        <f t="shared" si="0"/>
        <v>25</v>
      </c>
      <c r="X7" s="15">
        <f t="shared" si="0"/>
        <v>0</v>
      </c>
      <c r="Y7" s="15">
        <f t="shared" si="0"/>
        <v>104</v>
      </c>
      <c r="Z7" s="15">
        <f t="shared" si="0"/>
        <v>103</v>
      </c>
      <c r="AA7" s="15">
        <f t="shared" si="0"/>
        <v>60</v>
      </c>
      <c r="AB7" s="15">
        <f t="shared" si="0"/>
        <v>13</v>
      </c>
      <c r="AC7" s="17">
        <f t="shared" si="0"/>
        <v>30</v>
      </c>
      <c r="AD7" s="25">
        <f t="shared" si="0"/>
        <v>2361</v>
      </c>
    </row>
    <row r="8" spans="1:30" ht="13.5">
      <c r="A8" s="14">
        <v>3</v>
      </c>
      <c r="B8" s="207" t="s">
        <v>24</v>
      </c>
      <c r="C8" s="198" t="s">
        <v>25</v>
      </c>
      <c r="D8" s="199"/>
      <c r="E8" s="20"/>
      <c r="F8" s="186"/>
      <c r="G8" s="187"/>
      <c r="H8" s="21"/>
      <c r="I8" s="20"/>
      <c r="J8" s="20"/>
      <c r="K8" s="15"/>
      <c r="L8" s="15"/>
      <c r="M8" s="15"/>
      <c r="N8" s="20"/>
      <c r="O8" s="20"/>
      <c r="P8" s="20"/>
      <c r="Q8" s="20"/>
      <c r="R8" s="20"/>
      <c r="S8" s="22"/>
      <c r="T8" s="22"/>
      <c r="U8" s="126"/>
      <c r="V8" s="20"/>
      <c r="W8" s="23"/>
      <c r="X8" s="20"/>
      <c r="Y8" s="20"/>
      <c r="Z8" s="20"/>
      <c r="AA8" s="20"/>
      <c r="AB8" s="20"/>
      <c r="AC8" s="22"/>
      <c r="AD8" s="13">
        <f>SUM(E8:AC8)</f>
        <v>0</v>
      </c>
    </row>
    <row r="9" spans="1:30" ht="13.5">
      <c r="A9" s="14">
        <v>4</v>
      </c>
      <c r="B9" s="208"/>
      <c r="C9" s="198" t="s">
        <v>26</v>
      </c>
      <c r="D9" s="199"/>
      <c r="E9" s="15"/>
      <c r="F9" s="186"/>
      <c r="G9" s="187"/>
      <c r="H9" s="21"/>
      <c r="I9" s="20">
        <v>4</v>
      </c>
      <c r="J9" s="20"/>
      <c r="K9" s="20"/>
      <c r="L9" s="15"/>
      <c r="M9" s="15"/>
      <c r="N9" s="20">
        <v>12</v>
      </c>
      <c r="O9" s="20"/>
      <c r="P9" s="20"/>
      <c r="Q9" s="20"/>
      <c r="R9" s="20">
        <v>5</v>
      </c>
      <c r="S9" s="22"/>
      <c r="T9" s="22"/>
      <c r="U9" s="126"/>
      <c r="V9" s="20"/>
      <c r="W9" s="23"/>
      <c r="X9" s="20"/>
      <c r="Y9" s="20"/>
      <c r="Z9" s="20"/>
      <c r="AA9" s="20"/>
      <c r="AB9" s="20"/>
      <c r="AC9" s="22"/>
      <c r="AD9" s="13">
        <f>SUM(E9:AC9)</f>
        <v>21</v>
      </c>
    </row>
    <row r="10" spans="1:30" ht="13.5">
      <c r="A10" s="14">
        <v>5</v>
      </c>
      <c r="B10" s="208"/>
      <c r="C10" s="198" t="s">
        <v>27</v>
      </c>
      <c r="D10" s="199"/>
      <c r="E10" s="15"/>
      <c r="F10" s="186"/>
      <c r="G10" s="187"/>
      <c r="H10" s="21"/>
      <c r="I10" s="20"/>
      <c r="J10" s="20"/>
      <c r="K10" s="20"/>
      <c r="L10" s="15"/>
      <c r="M10" s="15"/>
      <c r="N10" s="20"/>
      <c r="O10" s="20"/>
      <c r="P10" s="20"/>
      <c r="Q10" s="20"/>
      <c r="R10" s="20"/>
      <c r="S10" s="22">
        <v>1</v>
      </c>
      <c r="T10" s="22"/>
      <c r="U10" s="126"/>
      <c r="V10" s="20"/>
      <c r="W10" s="23"/>
      <c r="X10" s="20"/>
      <c r="Y10" s="20"/>
      <c r="Z10" s="20"/>
      <c r="AA10" s="20"/>
      <c r="AB10" s="20"/>
      <c r="AC10" s="22"/>
      <c r="AD10" s="13">
        <f>SUM(E10:AC10)</f>
        <v>1</v>
      </c>
    </row>
    <row r="11" spans="1:30" ht="13.5">
      <c r="A11" s="14">
        <v>6</v>
      </c>
      <c r="B11" s="208"/>
      <c r="C11" s="198" t="s">
        <v>28</v>
      </c>
      <c r="D11" s="199"/>
      <c r="E11" s="15"/>
      <c r="F11" s="186"/>
      <c r="G11" s="187"/>
      <c r="H11" s="21"/>
      <c r="I11" s="20"/>
      <c r="J11" s="20"/>
      <c r="K11" s="15"/>
      <c r="L11" s="20"/>
      <c r="M11" s="20"/>
      <c r="N11" s="20"/>
      <c r="O11" s="20"/>
      <c r="P11" s="20"/>
      <c r="Q11" s="20"/>
      <c r="R11" s="20"/>
      <c r="S11" s="22"/>
      <c r="T11" s="22"/>
      <c r="U11" s="126"/>
      <c r="V11" s="20"/>
      <c r="W11" s="23"/>
      <c r="X11" s="20"/>
      <c r="Y11" s="20"/>
      <c r="Z11" s="20"/>
      <c r="AA11" s="20"/>
      <c r="AB11" s="20"/>
      <c r="AC11" s="22"/>
      <c r="AD11" s="13">
        <f>SUM(E11:AC11)</f>
        <v>0</v>
      </c>
    </row>
    <row r="12" spans="1:30" ht="13.5">
      <c r="A12" s="14">
        <v>7</v>
      </c>
      <c r="B12" s="208"/>
      <c r="C12" s="198" t="s">
        <v>29</v>
      </c>
      <c r="D12" s="199"/>
      <c r="E12" s="16">
        <f aca="true" t="shared" si="1" ref="E12:AD12">E8+E9</f>
        <v>0</v>
      </c>
      <c r="F12" s="185">
        <f t="shared" si="1"/>
        <v>0</v>
      </c>
      <c r="G12" s="185">
        <f t="shared" si="1"/>
        <v>0</v>
      </c>
      <c r="H12" s="16">
        <f t="shared" si="1"/>
        <v>0</v>
      </c>
      <c r="I12" s="16">
        <f t="shared" si="1"/>
        <v>4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12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5</v>
      </c>
      <c r="S12" s="16">
        <f t="shared" si="1"/>
        <v>0</v>
      </c>
      <c r="T12" s="33">
        <f t="shared" si="1"/>
        <v>0</v>
      </c>
      <c r="U12" s="127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33">
        <f t="shared" si="1"/>
        <v>0</v>
      </c>
      <c r="AD12" s="36">
        <f t="shared" si="1"/>
        <v>21</v>
      </c>
    </row>
    <row r="13" spans="1:30" ht="13.5">
      <c r="A13" s="14">
        <v>8</v>
      </c>
      <c r="B13" s="209"/>
      <c r="C13" s="198" t="s">
        <v>30</v>
      </c>
      <c r="D13" s="199"/>
      <c r="E13" s="16">
        <f aca="true" t="shared" si="2" ref="E13:AD13">E10+E11</f>
        <v>0</v>
      </c>
      <c r="F13" s="185">
        <f t="shared" si="2"/>
        <v>0</v>
      </c>
      <c r="G13" s="185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1</v>
      </c>
      <c r="T13" s="33">
        <f t="shared" si="2"/>
        <v>0</v>
      </c>
      <c r="U13" s="127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6">
        <f t="shared" si="2"/>
        <v>0</v>
      </c>
      <c r="AC13" s="33">
        <f t="shared" si="2"/>
        <v>0</v>
      </c>
      <c r="AD13" s="36">
        <f t="shared" si="2"/>
        <v>1</v>
      </c>
    </row>
    <row r="14" spans="1:30" ht="13.5">
      <c r="A14" s="14">
        <v>9</v>
      </c>
      <c r="B14" s="207" t="s">
        <v>31</v>
      </c>
      <c r="C14" s="24" t="s">
        <v>32</v>
      </c>
      <c r="D14" s="24" t="s">
        <v>33</v>
      </c>
      <c r="E14" s="15"/>
      <c r="F14" s="184"/>
      <c r="G14" s="185"/>
      <c r="H14" s="16"/>
      <c r="I14" s="15"/>
      <c r="J14" s="15"/>
      <c r="K14" s="15"/>
      <c r="L14" s="15"/>
      <c r="M14" s="15"/>
      <c r="N14" s="15"/>
      <c r="O14" s="15"/>
      <c r="P14" s="15">
        <v>5</v>
      </c>
      <c r="Q14" s="15"/>
      <c r="R14" s="15"/>
      <c r="S14" s="17"/>
      <c r="T14" s="17"/>
      <c r="U14" s="125"/>
      <c r="V14" s="15"/>
      <c r="W14" s="19"/>
      <c r="X14" s="15"/>
      <c r="Y14" s="15"/>
      <c r="Z14" s="15"/>
      <c r="AA14" s="15"/>
      <c r="AB14" s="15"/>
      <c r="AC14" s="17"/>
      <c r="AD14" s="25">
        <f aca="true" t="shared" si="3" ref="AD14:AD21">SUM(E14:AC14)</f>
        <v>5</v>
      </c>
    </row>
    <row r="15" spans="1:30" ht="13.5">
      <c r="A15" s="26"/>
      <c r="B15" s="208"/>
      <c r="C15" s="27"/>
      <c r="D15" s="24" t="s">
        <v>34</v>
      </c>
      <c r="E15" s="15"/>
      <c r="F15" s="185"/>
      <c r="G15" s="185"/>
      <c r="H15" s="16"/>
      <c r="I15" s="16"/>
      <c r="J15" s="16"/>
      <c r="K15" s="16"/>
      <c r="L15" s="16"/>
      <c r="M15" s="16"/>
      <c r="N15" s="15"/>
      <c r="O15" s="15"/>
      <c r="P15" s="15">
        <v>331</v>
      </c>
      <c r="Q15" s="15"/>
      <c r="R15" s="15"/>
      <c r="S15" s="17"/>
      <c r="T15" s="17"/>
      <c r="U15" s="125"/>
      <c r="V15" s="15"/>
      <c r="W15" s="19"/>
      <c r="X15" s="15"/>
      <c r="Y15" s="15"/>
      <c r="Z15" s="15"/>
      <c r="AA15" s="15"/>
      <c r="AB15" s="15"/>
      <c r="AC15" s="17"/>
      <c r="AD15" s="25">
        <f t="shared" si="3"/>
        <v>331</v>
      </c>
    </row>
    <row r="16" spans="1:30" ht="13.5">
      <c r="A16" s="14">
        <v>10</v>
      </c>
      <c r="B16" s="208"/>
      <c r="C16" s="24" t="s">
        <v>26</v>
      </c>
      <c r="D16" s="24" t="s">
        <v>33</v>
      </c>
      <c r="E16" s="15"/>
      <c r="F16" s="184"/>
      <c r="G16" s="185"/>
      <c r="H16" s="16">
        <v>43</v>
      </c>
      <c r="I16" s="15">
        <v>3</v>
      </c>
      <c r="J16" s="15"/>
      <c r="K16" s="15">
        <v>1</v>
      </c>
      <c r="L16" s="15">
        <v>84</v>
      </c>
      <c r="M16" s="15"/>
      <c r="N16" s="15">
        <v>119</v>
      </c>
      <c r="O16" s="15">
        <v>10</v>
      </c>
      <c r="P16" s="15">
        <v>3</v>
      </c>
      <c r="Q16" s="15"/>
      <c r="R16" s="15">
        <v>5</v>
      </c>
      <c r="S16" s="17"/>
      <c r="T16" s="17"/>
      <c r="U16" s="125"/>
      <c r="V16" s="15"/>
      <c r="W16" s="19"/>
      <c r="X16" s="15"/>
      <c r="Y16" s="15">
        <v>6</v>
      </c>
      <c r="Z16" s="15">
        <v>12</v>
      </c>
      <c r="AA16" s="15"/>
      <c r="AB16" s="15">
        <v>1</v>
      </c>
      <c r="AC16" s="17"/>
      <c r="AD16" s="25">
        <f t="shared" si="3"/>
        <v>287</v>
      </c>
    </row>
    <row r="17" spans="1:30" ht="13.5">
      <c r="A17" s="14" t="s">
        <v>35</v>
      </c>
      <c r="B17" s="208"/>
      <c r="C17" s="27"/>
      <c r="D17" s="24" t="s">
        <v>34</v>
      </c>
      <c r="E17" s="15"/>
      <c r="F17" s="184"/>
      <c r="G17" s="185"/>
      <c r="H17" s="16">
        <f>23*60</f>
        <v>1380</v>
      </c>
      <c r="I17" s="16">
        <v>21</v>
      </c>
      <c r="J17" s="15"/>
      <c r="K17" s="15">
        <v>55</v>
      </c>
      <c r="L17" s="15">
        <f>54*60</f>
        <v>3240</v>
      </c>
      <c r="M17" s="15"/>
      <c r="N17" s="15">
        <f>188*60</f>
        <v>11280</v>
      </c>
      <c r="O17" s="15">
        <f>4*60+52</f>
        <v>292</v>
      </c>
      <c r="P17" s="15">
        <v>248</v>
      </c>
      <c r="Q17" s="15"/>
      <c r="R17" s="15">
        <v>57</v>
      </c>
      <c r="S17" s="17"/>
      <c r="T17" s="17"/>
      <c r="U17" s="125"/>
      <c r="V17" s="15"/>
      <c r="W17" s="19"/>
      <c r="X17" s="15"/>
      <c r="Y17" s="15">
        <v>540</v>
      </c>
      <c r="Z17" s="15">
        <f>6*60</f>
        <v>360</v>
      </c>
      <c r="AA17" s="15"/>
      <c r="AB17" s="15">
        <f>3*60</f>
        <v>180</v>
      </c>
      <c r="AC17" s="17"/>
      <c r="AD17" s="25">
        <f t="shared" si="3"/>
        <v>17653</v>
      </c>
    </row>
    <row r="18" spans="1:30" ht="13.5">
      <c r="A18" s="14">
        <v>11</v>
      </c>
      <c r="B18" s="208"/>
      <c r="C18" s="24" t="s">
        <v>27</v>
      </c>
      <c r="D18" s="24" t="s">
        <v>33</v>
      </c>
      <c r="E18" s="15">
        <v>1</v>
      </c>
      <c r="F18" s="184"/>
      <c r="G18" s="185"/>
      <c r="H18" s="16">
        <v>17</v>
      </c>
      <c r="I18" s="15"/>
      <c r="J18" s="15">
        <v>1</v>
      </c>
      <c r="K18" s="15">
        <v>1</v>
      </c>
      <c r="L18" s="15">
        <v>37</v>
      </c>
      <c r="M18" s="15">
        <v>1</v>
      </c>
      <c r="N18" s="15">
        <v>52</v>
      </c>
      <c r="O18" s="15"/>
      <c r="P18" s="15">
        <v>2</v>
      </c>
      <c r="Q18" s="15"/>
      <c r="R18" s="15"/>
      <c r="S18" s="17"/>
      <c r="T18" s="17"/>
      <c r="U18" s="125"/>
      <c r="V18" s="15"/>
      <c r="W18" s="19">
        <v>1</v>
      </c>
      <c r="X18" s="15"/>
      <c r="Y18" s="15">
        <v>2</v>
      </c>
      <c r="Z18" s="15">
        <v>1</v>
      </c>
      <c r="AA18" s="15">
        <v>1</v>
      </c>
      <c r="AB18" s="15"/>
      <c r="AC18" s="17">
        <v>2</v>
      </c>
      <c r="AD18" s="25">
        <f t="shared" si="3"/>
        <v>119</v>
      </c>
    </row>
    <row r="19" spans="1:30" ht="13.5">
      <c r="A19" s="26"/>
      <c r="B19" s="208"/>
      <c r="C19" s="27"/>
      <c r="D19" s="24" t="s">
        <v>34</v>
      </c>
      <c r="E19" s="15">
        <v>58</v>
      </c>
      <c r="F19" s="185"/>
      <c r="G19" s="185"/>
      <c r="H19" s="16">
        <f>18*60</f>
        <v>1080</v>
      </c>
      <c r="I19" s="16"/>
      <c r="J19" s="15">
        <v>60</v>
      </c>
      <c r="K19" s="15">
        <f>24*60</f>
        <v>1440</v>
      </c>
      <c r="L19" s="15">
        <f>22*60</f>
        <v>1320</v>
      </c>
      <c r="M19" s="15">
        <v>48</v>
      </c>
      <c r="N19" s="15">
        <f>94*60</f>
        <v>5640</v>
      </c>
      <c r="O19" s="15"/>
      <c r="P19" s="15">
        <v>60</v>
      </c>
      <c r="Q19" s="15"/>
      <c r="R19" s="15"/>
      <c r="S19" s="17"/>
      <c r="T19" s="17"/>
      <c r="U19" s="125"/>
      <c r="V19" s="15"/>
      <c r="W19" s="19">
        <f>1*60+5</f>
        <v>65</v>
      </c>
      <c r="X19" s="15"/>
      <c r="Y19" s="15">
        <v>115</v>
      </c>
      <c r="Z19" s="15">
        <v>3</v>
      </c>
      <c r="AA19" s="15">
        <v>36</v>
      </c>
      <c r="AB19" s="15"/>
      <c r="AC19" s="17">
        <v>98</v>
      </c>
      <c r="AD19" s="25">
        <f t="shared" si="3"/>
        <v>10023</v>
      </c>
    </row>
    <row r="20" spans="1:30" ht="13.5">
      <c r="A20" s="14">
        <v>12</v>
      </c>
      <c r="B20" s="208"/>
      <c r="C20" s="24" t="s">
        <v>28</v>
      </c>
      <c r="D20" s="24" t="s">
        <v>33</v>
      </c>
      <c r="E20" s="15"/>
      <c r="F20" s="184"/>
      <c r="G20" s="185"/>
      <c r="H20" s="16">
        <v>31</v>
      </c>
      <c r="I20" s="15"/>
      <c r="J20" s="15"/>
      <c r="K20" s="15">
        <v>2</v>
      </c>
      <c r="L20" s="15">
        <v>48</v>
      </c>
      <c r="M20" s="15">
        <v>14</v>
      </c>
      <c r="N20" s="15">
        <v>42</v>
      </c>
      <c r="O20" s="15">
        <v>3</v>
      </c>
      <c r="P20" s="15"/>
      <c r="Q20" s="15">
        <v>1</v>
      </c>
      <c r="R20" s="15"/>
      <c r="S20" s="17">
        <v>4</v>
      </c>
      <c r="T20" s="17">
        <v>12</v>
      </c>
      <c r="U20" s="125">
        <v>2</v>
      </c>
      <c r="V20" s="15">
        <v>1</v>
      </c>
      <c r="W20" s="19"/>
      <c r="X20" s="15"/>
      <c r="Y20" s="15">
        <v>6</v>
      </c>
      <c r="Z20" s="15">
        <v>5</v>
      </c>
      <c r="AA20" s="15">
        <v>2</v>
      </c>
      <c r="AB20" s="15">
        <v>3</v>
      </c>
      <c r="AC20" s="17"/>
      <c r="AD20" s="25">
        <f t="shared" si="3"/>
        <v>176</v>
      </c>
    </row>
    <row r="21" spans="1:30" ht="13.5">
      <c r="A21" s="26"/>
      <c r="B21" s="208"/>
      <c r="C21" s="27"/>
      <c r="D21" s="24" t="s">
        <v>34</v>
      </c>
      <c r="E21" s="15"/>
      <c r="F21" s="185"/>
      <c r="G21" s="185"/>
      <c r="H21" s="16">
        <f>23*60</f>
        <v>1380</v>
      </c>
      <c r="I21" s="16"/>
      <c r="J21" s="15"/>
      <c r="K21" s="15">
        <f>1*60</f>
        <v>60</v>
      </c>
      <c r="L21" s="15">
        <f>15*60</f>
        <v>900</v>
      </c>
      <c r="M21" s="15">
        <v>1082</v>
      </c>
      <c r="N21" s="15">
        <f>25*60</f>
        <v>1500</v>
      </c>
      <c r="O21" s="15">
        <f>1*60+17</f>
        <v>77</v>
      </c>
      <c r="P21" s="15"/>
      <c r="Q21" s="15">
        <v>30</v>
      </c>
      <c r="R21" s="15"/>
      <c r="S21" s="17">
        <v>179</v>
      </c>
      <c r="T21" s="17">
        <v>537</v>
      </c>
      <c r="U21" s="125">
        <v>38</v>
      </c>
      <c r="V21" s="15">
        <f>1*60</f>
        <v>60</v>
      </c>
      <c r="W21" s="19"/>
      <c r="X21" s="15"/>
      <c r="Y21" s="15">
        <v>186</v>
      </c>
      <c r="Z21" s="15">
        <f>3*60</f>
        <v>180</v>
      </c>
      <c r="AA21" s="15">
        <v>60</v>
      </c>
      <c r="AB21" s="15">
        <v>60</v>
      </c>
      <c r="AC21" s="17"/>
      <c r="AD21" s="25">
        <f t="shared" si="3"/>
        <v>6329</v>
      </c>
    </row>
    <row r="22" spans="1:30" ht="13.5">
      <c r="A22" s="14">
        <v>13</v>
      </c>
      <c r="B22" s="208"/>
      <c r="C22" s="198" t="s">
        <v>36</v>
      </c>
      <c r="D22" s="199"/>
      <c r="E22" s="15">
        <f aca="true" t="shared" si="4" ref="E22:AD22">E14+E16+E18+E20</f>
        <v>1</v>
      </c>
      <c r="F22" s="184">
        <f t="shared" si="4"/>
        <v>0</v>
      </c>
      <c r="G22" s="184">
        <f t="shared" si="4"/>
        <v>0</v>
      </c>
      <c r="H22" s="15">
        <f t="shared" si="4"/>
        <v>91</v>
      </c>
      <c r="I22" s="15">
        <f t="shared" si="4"/>
        <v>3</v>
      </c>
      <c r="J22" s="15">
        <f t="shared" si="4"/>
        <v>1</v>
      </c>
      <c r="K22" s="15">
        <f t="shared" si="4"/>
        <v>4</v>
      </c>
      <c r="L22" s="15">
        <f t="shared" si="4"/>
        <v>169</v>
      </c>
      <c r="M22" s="15">
        <f t="shared" si="4"/>
        <v>15</v>
      </c>
      <c r="N22" s="15">
        <f t="shared" si="4"/>
        <v>213</v>
      </c>
      <c r="O22" s="15">
        <f t="shared" si="4"/>
        <v>13</v>
      </c>
      <c r="P22" s="15">
        <f t="shared" si="4"/>
        <v>10</v>
      </c>
      <c r="Q22" s="15">
        <f t="shared" si="4"/>
        <v>1</v>
      </c>
      <c r="R22" s="15">
        <f t="shared" si="4"/>
        <v>5</v>
      </c>
      <c r="S22" s="15">
        <f t="shared" si="4"/>
        <v>4</v>
      </c>
      <c r="T22" s="17">
        <f t="shared" si="4"/>
        <v>12</v>
      </c>
      <c r="U22" s="125">
        <f t="shared" si="4"/>
        <v>2</v>
      </c>
      <c r="V22" s="15">
        <f t="shared" si="4"/>
        <v>1</v>
      </c>
      <c r="W22" s="15">
        <f t="shared" si="4"/>
        <v>1</v>
      </c>
      <c r="X22" s="15">
        <f t="shared" si="4"/>
        <v>0</v>
      </c>
      <c r="Y22" s="15">
        <f t="shared" si="4"/>
        <v>14</v>
      </c>
      <c r="Z22" s="15">
        <f t="shared" si="4"/>
        <v>18</v>
      </c>
      <c r="AA22" s="15">
        <f t="shared" si="4"/>
        <v>3</v>
      </c>
      <c r="AB22" s="15">
        <f t="shared" si="4"/>
        <v>4</v>
      </c>
      <c r="AC22" s="17">
        <f t="shared" si="4"/>
        <v>2</v>
      </c>
      <c r="AD22" s="25">
        <f t="shared" si="4"/>
        <v>587</v>
      </c>
    </row>
    <row r="23" spans="1:30" ht="13.5">
      <c r="A23" s="14">
        <v>14</v>
      </c>
      <c r="B23" s="209"/>
      <c r="C23" s="198" t="s">
        <v>37</v>
      </c>
      <c r="D23" s="199"/>
      <c r="E23" s="15">
        <f>E15+E17+E19+E21</f>
        <v>58</v>
      </c>
      <c r="F23" s="184">
        <f>F15+F17+F19+F21</f>
        <v>0</v>
      </c>
      <c r="G23" s="184">
        <f>G15+G17+G19+G21</f>
        <v>0</v>
      </c>
      <c r="H23" s="15">
        <f>H15+H17+H19+H21</f>
        <v>3840</v>
      </c>
      <c r="I23" s="15">
        <f>I15+I17+I19+I21</f>
        <v>21</v>
      </c>
      <c r="J23" s="15">
        <f aca="true" t="shared" si="5" ref="J23:AD23">J15+J17+J19+J21</f>
        <v>60</v>
      </c>
      <c r="K23" s="15">
        <f t="shared" si="5"/>
        <v>1555</v>
      </c>
      <c r="L23" s="15">
        <f t="shared" si="5"/>
        <v>5460</v>
      </c>
      <c r="M23" s="15">
        <f t="shared" si="5"/>
        <v>1130</v>
      </c>
      <c r="N23" s="15">
        <f t="shared" si="5"/>
        <v>18420</v>
      </c>
      <c r="O23" s="15">
        <f t="shared" si="5"/>
        <v>369</v>
      </c>
      <c r="P23" s="15">
        <f t="shared" si="5"/>
        <v>639</v>
      </c>
      <c r="Q23" s="15">
        <f t="shared" si="5"/>
        <v>30</v>
      </c>
      <c r="R23" s="15">
        <f t="shared" si="5"/>
        <v>57</v>
      </c>
      <c r="S23" s="15">
        <f t="shared" si="5"/>
        <v>179</v>
      </c>
      <c r="T23" s="17">
        <f t="shared" si="5"/>
        <v>537</v>
      </c>
      <c r="U23" s="125">
        <f t="shared" si="5"/>
        <v>38</v>
      </c>
      <c r="V23" s="15">
        <f t="shared" si="5"/>
        <v>60</v>
      </c>
      <c r="W23" s="15">
        <f t="shared" si="5"/>
        <v>65</v>
      </c>
      <c r="X23" s="15">
        <f t="shared" si="5"/>
        <v>0</v>
      </c>
      <c r="Y23" s="15">
        <f t="shared" si="5"/>
        <v>841</v>
      </c>
      <c r="Z23" s="15">
        <f t="shared" si="5"/>
        <v>543</v>
      </c>
      <c r="AA23" s="15">
        <f t="shared" si="5"/>
        <v>96</v>
      </c>
      <c r="AB23" s="15">
        <f t="shared" si="5"/>
        <v>240</v>
      </c>
      <c r="AC23" s="17">
        <f t="shared" si="5"/>
        <v>98</v>
      </c>
      <c r="AD23" s="25">
        <f t="shared" si="5"/>
        <v>34336</v>
      </c>
    </row>
    <row r="24" spans="1:30" ht="13.5">
      <c r="A24" s="14">
        <v>16</v>
      </c>
      <c r="B24" s="198" t="s">
        <v>39</v>
      </c>
      <c r="C24" s="200"/>
      <c r="D24" s="199"/>
      <c r="E24" s="15">
        <f aca="true" t="shared" si="6" ref="E24:AD24">E7-E12</f>
        <v>13</v>
      </c>
      <c r="F24" s="184">
        <f t="shared" si="6"/>
        <v>0</v>
      </c>
      <c r="G24" s="184">
        <f t="shared" si="6"/>
        <v>0</v>
      </c>
      <c r="H24" s="15">
        <f t="shared" si="6"/>
        <v>300</v>
      </c>
      <c r="I24" s="15">
        <f t="shared" si="6"/>
        <v>26</v>
      </c>
      <c r="J24" s="15">
        <f t="shared" si="6"/>
        <v>13</v>
      </c>
      <c r="K24" s="15">
        <f t="shared" si="6"/>
        <v>18</v>
      </c>
      <c r="L24" s="15">
        <f t="shared" si="6"/>
        <v>286</v>
      </c>
      <c r="M24" s="15">
        <f t="shared" si="6"/>
        <v>120</v>
      </c>
      <c r="N24" s="15">
        <f t="shared" si="6"/>
        <v>818</v>
      </c>
      <c r="O24" s="15">
        <f t="shared" si="6"/>
        <v>73</v>
      </c>
      <c r="P24" s="15">
        <f t="shared" si="6"/>
        <v>210</v>
      </c>
      <c r="Q24" s="15">
        <f t="shared" si="6"/>
        <v>4</v>
      </c>
      <c r="R24" s="15">
        <f t="shared" si="6"/>
        <v>25</v>
      </c>
      <c r="S24" s="15">
        <f t="shared" si="6"/>
        <v>9</v>
      </c>
      <c r="T24" s="17">
        <f t="shared" si="6"/>
        <v>30</v>
      </c>
      <c r="U24" s="125">
        <f t="shared" si="6"/>
        <v>30</v>
      </c>
      <c r="V24" s="15">
        <f t="shared" si="6"/>
        <v>30</v>
      </c>
      <c r="W24" s="15">
        <f t="shared" si="6"/>
        <v>25</v>
      </c>
      <c r="X24" s="15">
        <f t="shared" si="6"/>
        <v>0</v>
      </c>
      <c r="Y24" s="15">
        <f t="shared" si="6"/>
        <v>104</v>
      </c>
      <c r="Z24" s="15">
        <f t="shared" si="6"/>
        <v>103</v>
      </c>
      <c r="AA24" s="15">
        <f t="shared" si="6"/>
        <v>60</v>
      </c>
      <c r="AB24" s="15">
        <f t="shared" si="6"/>
        <v>13</v>
      </c>
      <c r="AC24" s="17">
        <f t="shared" si="6"/>
        <v>30</v>
      </c>
      <c r="AD24" s="25">
        <f t="shared" si="6"/>
        <v>2340</v>
      </c>
    </row>
    <row r="25" spans="1:30" ht="13.5">
      <c r="A25" s="14">
        <v>17</v>
      </c>
      <c r="B25" s="198" t="s">
        <v>40</v>
      </c>
      <c r="C25" s="200"/>
      <c r="D25" s="199"/>
      <c r="E25" s="15">
        <f aca="true" t="shared" si="7" ref="E25:AD25">E24-E22-E13</f>
        <v>12</v>
      </c>
      <c r="F25" s="184">
        <f t="shared" si="7"/>
        <v>0</v>
      </c>
      <c r="G25" s="184">
        <f t="shared" si="7"/>
        <v>0</v>
      </c>
      <c r="H25" s="15">
        <f t="shared" si="7"/>
        <v>209</v>
      </c>
      <c r="I25" s="15">
        <f t="shared" si="7"/>
        <v>23</v>
      </c>
      <c r="J25" s="15">
        <f t="shared" si="7"/>
        <v>12</v>
      </c>
      <c r="K25" s="15">
        <f t="shared" si="7"/>
        <v>14</v>
      </c>
      <c r="L25" s="15">
        <f t="shared" si="7"/>
        <v>117</v>
      </c>
      <c r="M25" s="15">
        <f t="shared" si="7"/>
        <v>105</v>
      </c>
      <c r="N25" s="15">
        <f t="shared" si="7"/>
        <v>605</v>
      </c>
      <c r="O25" s="15">
        <f t="shared" si="7"/>
        <v>60</v>
      </c>
      <c r="P25" s="15">
        <f t="shared" si="7"/>
        <v>200</v>
      </c>
      <c r="Q25" s="15">
        <f t="shared" si="7"/>
        <v>3</v>
      </c>
      <c r="R25" s="15">
        <f t="shared" si="7"/>
        <v>20</v>
      </c>
      <c r="S25" s="15">
        <f t="shared" si="7"/>
        <v>4</v>
      </c>
      <c r="T25" s="17">
        <f t="shared" si="7"/>
        <v>18</v>
      </c>
      <c r="U25" s="125">
        <f t="shared" si="7"/>
        <v>28</v>
      </c>
      <c r="V25" s="15">
        <f t="shared" si="7"/>
        <v>29</v>
      </c>
      <c r="W25" s="15">
        <f t="shared" si="7"/>
        <v>24</v>
      </c>
      <c r="X25" s="15">
        <f t="shared" si="7"/>
        <v>0</v>
      </c>
      <c r="Y25" s="15">
        <f t="shared" si="7"/>
        <v>90</v>
      </c>
      <c r="Z25" s="15">
        <f t="shared" si="7"/>
        <v>85</v>
      </c>
      <c r="AA25" s="15">
        <f t="shared" si="7"/>
        <v>57</v>
      </c>
      <c r="AB25" s="15">
        <f t="shared" si="7"/>
        <v>9</v>
      </c>
      <c r="AC25" s="17">
        <f t="shared" si="7"/>
        <v>28</v>
      </c>
      <c r="AD25" s="25">
        <f t="shared" si="7"/>
        <v>1752</v>
      </c>
    </row>
    <row r="26" spans="1:30" ht="13.5">
      <c r="A26" s="14">
        <v>18</v>
      </c>
      <c r="B26" s="198" t="s">
        <v>41</v>
      </c>
      <c r="C26" s="200"/>
      <c r="D26" s="199"/>
      <c r="E26" s="29">
        <f aca="true" t="shared" si="8" ref="E26:AD26">IF(E24=0,0,(E25+E16)/E24)</f>
        <v>0.9230769230769231</v>
      </c>
      <c r="F26" s="188">
        <f t="shared" si="8"/>
        <v>0</v>
      </c>
      <c r="G26" s="188">
        <f t="shared" si="8"/>
        <v>0</v>
      </c>
      <c r="H26" s="29">
        <f t="shared" si="8"/>
        <v>0.84</v>
      </c>
      <c r="I26" s="29">
        <f t="shared" si="8"/>
        <v>1</v>
      </c>
      <c r="J26" s="29">
        <f t="shared" si="8"/>
        <v>0.9230769230769231</v>
      </c>
      <c r="K26" s="29">
        <f t="shared" si="8"/>
        <v>0.8333333333333334</v>
      </c>
      <c r="L26" s="29">
        <f t="shared" si="8"/>
        <v>0.7027972027972028</v>
      </c>
      <c r="M26" s="29">
        <f t="shared" si="8"/>
        <v>0.875</v>
      </c>
      <c r="N26" s="29">
        <f t="shared" si="8"/>
        <v>0.8850855745721271</v>
      </c>
      <c r="O26" s="29">
        <f t="shared" si="8"/>
        <v>0.958904109589041</v>
      </c>
      <c r="P26" s="29">
        <f t="shared" si="8"/>
        <v>0.9666666666666667</v>
      </c>
      <c r="Q26" s="29">
        <f t="shared" si="8"/>
        <v>0.75</v>
      </c>
      <c r="R26" s="29">
        <f t="shared" si="8"/>
        <v>1</v>
      </c>
      <c r="S26" s="29">
        <f t="shared" si="8"/>
        <v>0.4444444444444444</v>
      </c>
      <c r="T26" s="34">
        <f t="shared" si="8"/>
        <v>0.6</v>
      </c>
      <c r="U26" s="181">
        <f t="shared" si="8"/>
        <v>0.9333333333333333</v>
      </c>
      <c r="V26" s="29">
        <f t="shared" si="8"/>
        <v>0.9666666666666667</v>
      </c>
      <c r="W26" s="29">
        <f t="shared" si="8"/>
        <v>0.96</v>
      </c>
      <c r="X26" s="29">
        <f t="shared" si="8"/>
        <v>0</v>
      </c>
      <c r="Y26" s="29">
        <f t="shared" si="8"/>
        <v>0.9230769230769231</v>
      </c>
      <c r="Z26" s="29">
        <f t="shared" si="8"/>
        <v>0.941747572815534</v>
      </c>
      <c r="AA26" s="29">
        <f t="shared" si="8"/>
        <v>0.95</v>
      </c>
      <c r="AB26" s="29">
        <f t="shared" si="8"/>
        <v>0.7692307692307693</v>
      </c>
      <c r="AC26" s="34">
        <f t="shared" si="8"/>
        <v>0.9333333333333333</v>
      </c>
      <c r="AD26" s="37">
        <f t="shared" si="8"/>
        <v>0.8713675213675214</v>
      </c>
    </row>
    <row r="27" spans="1:30" ht="14.25" thickBot="1">
      <c r="A27" s="30">
        <v>19</v>
      </c>
      <c r="B27" s="210" t="s">
        <v>42</v>
      </c>
      <c r="C27" s="211"/>
      <c r="D27" s="212"/>
      <c r="E27" s="31">
        <f aca="true" t="shared" si="9" ref="E27:AD27">+E23/E22</f>
        <v>58</v>
      </c>
      <c r="F27" s="189" t="e">
        <f t="shared" si="9"/>
        <v>#DIV/0!</v>
      </c>
      <c r="G27" s="189" t="e">
        <f t="shared" si="9"/>
        <v>#DIV/0!</v>
      </c>
      <c r="H27" s="31">
        <f t="shared" si="9"/>
        <v>42.1978021978022</v>
      </c>
      <c r="I27" s="31">
        <f t="shared" si="9"/>
        <v>7</v>
      </c>
      <c r="J27" s="31">
        <f t="shared" si="9"/>
        <v>60</v>
      </c>
      <c r="K27" s="31">
        <f t="shared" si="9"/>
        <v>388.75</v>
      </c>
      <c r="L27" s="31">
        <f t="shared" si="9"/>
        <v>32.30769230769231</v>
      </c>
      <c r="M27" s="31">
        <f t="shared" si="9"/>
        <v>75.33333333333333</v>
      </c>
      <c r="N27" s="31">
        <f t="shared" si="9"/>
        <v>86.47887323943662</v>
      </c>
      <c r="O27" s="31">
        <f t="shared" si="9"/>
        <v>28.384615384615383</v>
      </c>
      <c r="P27" s="31">
        <f t="shared" si="9"/>
        <v>63.9</v>
      </c>
      <c r="Q27" s="31">
        <f t="shared" si="9"/>
        <v>30</v>
      </c>
      <c r="R27" s="31">
        <f t="shared" si="9"/>
        <v>11.4</v>
      </c>
      <c r="S27" s="31">
        <f t="shared" si="9"/>
        <v>44.75</v>
      </c>
      <c r="T27" s="31">
        <f t="shared" si="9"/>
        <v>44.75</v>
      </c>
      <c r="U27" s="31">
        <f t="shared" si="9"/>
        <v>19</v>
      </c>
      <c r="V27" s="31">
        <f t="shared" si="9"/>
        <v>60</v>
      </c>
      <c r="W27" s="31">
        <f t="shared" si="9"/>
        <v>65</v>
      </c>
      <c r="X27" s="31" t="e">
        <f t="shared" si="9"/>
        <v>#DIV/0!</v>
      </c>
      <c r="Y27" s="31">
        <f t="shared" si="9"/>
        <v>60.07142857142857</v>
      </c>
      <c r="Z27" s="31">
        <f t="shared" si="9"/>
        <v>30.166666666666668</v>
      </c>
      <c r="AA27" s="31">
        <f t="shared" si="9"/>
        <v>32</v>
      </c>
      <c r="AB27" s="31">
        <f t="shared" si="9"/>
        <v>60</v>
      </c>
      <c r="AC27" s="35">
        <f t="shared" si="9"/>
        <v>49</v>
      </c>
      <c r="AD27" s="38">
        <f t="shared" si="9"/>
        <v>58.49403747870528</v>
      </c>
    </row>
    <row r="28" ht="13.5" thickTop="1"/>
  </sheetData>
  <mergeCells count="21">
    <mergeCell ref="A1:AD1"/>
    <mergeCell ref="A2:AD2"/>
    <mergeCell ref="A3:AD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F4" sqref="F1:G16384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5" width="5.28125" style="0" bestFit="1" customWidth="1"/>
    <col min="6" max="7" width="6.00390625" style="0" hidden="1" customWidth="1"/>
    <col min="8" max="8" width="6.00390625" style="0" bestFit="1" customWidth="1"/>
    <col min="9" max="9" width="6.28125" style="0" bestFit="1" customWidth="1"/>
    <col min="10" max="13" width="6.00390625" style="0" bestFit="1" customWidth="1"/>
    <col min="14" max="14" width="7.00390625" style="0" bestFit="1" customWidth="1"/>
    <col min="15" max="15" width="6.00390625" style="0" bestFit="1" customWidth="1"/>
    <col min="16" max="16" width="6.28125" style="0" bestFit="1" customWidth="1"/>
    <col min="17" max="17" width="5.7109375" style="0" customWidth="1"/>
    <col min="18" max="18" width="6.00390625" style="0" bestFit="1" customWidth="1"/>
    <col min="19" max="19" width="5.28125" style="0" customWidth="1"/>
    <col min="20" max="20" width="6.28125" style="0" bestFit="1" customWidth="1"/>
    <col min="21" max="22" width="5.28125" style="0" bestFit="1" customWidth="1"/>
    <col min="23" max="23" width="6.421875" style="0" customWidth="1"/>
    <col min="24" max="24" width="6.00390625" style="0" hidden="1" customWidth="1"/>
    <col min="25" max="25" width="6.00390625" style="0" bestFit="1" customWidth="1"/>
    <col min="26" max="26" width="7.00390625" style="0" bestFit="1" customWidth="1"/>
    <col min="27" max="29" width="5.28125" style="0" bestFit="1" customWidth="1"/>
    <col min="30" max="30" width="7.00390625" style="0" bestFit="1" customWidth="1"/>
    <col min="31" max="80" width="6.421875" style="0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 thickTop="1">
      <c r="A4" s="1" t="s">
        <v>0</v>
      </c>
      <c r="B4" s="204" t="s">
        <v>1</v>
      </c>
      <c r="C4" s="205"/>
      <c r="D4" s="206"/>
      <c r="E4" s="2" t="s">
        <v>20</v>
      </c>
      <c r="F4" s="2" t="s">
        <v>48</v>
      </c>
      <c r="G4" s="2" t="s">
        <v>3</v>
      </c>
      <c r="H4" s="2" t="s">
        <v>49</v>
      </c>
      <c r="I4" s="2" t="s">
        <v>2</v>
      </c>
      <c r="J4" s="2" t="s">
        <v>19</v>
      </c>
      <c r="K4" s="32" t="s">
        <v>50</v>
      </c>
      <c r="L4" s="2" t="s">
        <v>15</v>
      </c>
      <c r="M4" s="2" t="s">
        <v>4</v>
      </c>
      <c r="N4" s="2" t="s">
        <v>5</v>
      </c>
      <c r="O4" s="2" t="s">
        <v>7</v>
      </c>
      <c r="P4" s="2" t="s">
        <v>6</v>
      </c>
      <c r="Q4" s="3" t="s">
        <v>8</v>
      </c>
      <c r="R4" s="3" t="s">
        <v>9</v>
      </c>
      <c r="S4" s="3" t="s">
        <v>54</v>
      </c>
      <c r="T4" s="177" t="s">
        <v>10</v>
      </c>
      <c r="U4" s="2" t="s">
        <v>17</v>
      </c>
      <c r="V4" s="3" t="s">
        <v>11</v>
      </c>
      <c r="W4" s="3" t="s">
        <v>12</v>
      </c>
      <c r="X4" s="3" t="s">
        <v>13</v>
      </c>
      <c r="Y4" s="3" t="s">
        <v>14</v>
      </c>
      <c r="Z4" s="3" t="s">
        <v>46</v>
      </c>
      <c r="AA4" s="3" t="s">
        <v>18</v>
      </c>
      <c r="AB4" s="3" t="s">
        <v>16</v>
      </c>
      <c r="AC4" s="3" t="s">
        <v>47</v>
      </c>
      <c r="AD4" s="4" t="s">
        <v>21</v>
      </c>
    </row>
    <row r="5" spans="1:30" ht="14.25" thickTop="1">
      <c r="A5" s="5">
        <v>1</v>
      </c>
      <c r="B5" s="196" t="s">
        <v>22</v>
      </c>
      <c r="C5" s="197"/>
      <c r="D5" s="195"/>
      <c r="E5" s="6">
        <v>12</v>
      </c>
      <c r="F5" s="182"/>
      <c r="G5" s="183"/>
      <c r="H5" s="7">
        <v>361</v>
      </c>
      <c r="I5" s="6">
        <v>31</v>
      </c>
      <c r="J5" s="6">
        <v>13</v>
      </c>
      <c r="K5" s="6">
        <v>18</v>
      </c>
      <c r="L5" s="6">
        <v>318</v>
      </c>
      <c r="M5" s="6">
        <v>180</v>
      </c>
      <c r="N5" s="6">
        <v>928</v>
      </c>
      <c r="O5" s="6">
        <v>79</v>
      </c>
      <c r="P5" s="6">
        <v>217</v>
      </c>
      <c r="Q5" s="6">
        <v>5</v>
      </c>
      <c r="R5" s="6">
        <v>31</v>
      </c>
      <c r="S5" s="8">
        <v>8</v>
      </c>
      <c r="T5" s="18">
        <v>31</v>
      </c>
      <c r="U5" s="10">
        <v>31</v>
      </c>
      <c r="V5" s="11">
        <v>24</v>
      </c>
      <c r="W5" s="10">
        <v>31</v>
      </c>
      <c r="X5" s="11"/>
      <c r="Y5" s="11">
        <v>104</v>
      </c>
      <c r="Z5" s="11">
        <v>132</v>
      </c>
      <c r="AA5" s="11">
        <v>62</v>
      </c>
      <c r="AB5" s="11">
        <v>13</v>
      </c>
      <c r="AC5" s="12">
        <v>30</v>
      </c>
      <c r="AD5" s="13">
        <f>SUM(E5:AC5)</f>
        <v>2659</v>
      </c>
    </row>
    <row r="6" spans="1:30" ht="13.5">
      <c r="A6" s="14">
        <v>2</v>
      </c>
      <c r="B6" s="198" t="s">
        <v>23</v>
      </c>
      <c r="C6" s="200"/>
      <c r="D6" s="199"/>
      <c r="E6" s="15"/>
      <c r="F6" s="184"/>
      <c r="G6" s="185"/>
      <c r="H6" s="16"/>
      <c r="I6" s="15"/>
      <c r="J6" s="15"/>
      <c r="K6" s="15"/>
      <c r="L6" s="15"/>
      <c r="M6" s="15"/>
      <c r="N6" s="15">
        <v>2</v>
      </c>
      <c r="O6" s="15"/>
      <c r="P6" s="15"/>
      <c r="Q6" s="15">
        <v>1</v>
      </c>
      <c r="R6" s="15"/>
      <c r="S6" s="17"/>
      <c r="T6" s="18"/>
      <c r="U6" s="19"/>
      <c r="V6" s="15">
        <v>3</v>
      </c>
      <c r="W6" s="19"/>
      <c r="X6" s="15"/>
      <c r="Y6" s="15"/>
      <c r="Z6" s="15">
        <v>6</v>
      </c>
      <c r="AA6" s="15"/>
      <c r="AB6" s="15"/>
      <c r="AC6" s="17"/>
      <c r="AD6" s="13">
        <f>SUM(E6:AC6)</f>
        <v>12</v>
      </c>
    </row>
    <row r="7" spans="1:30" ht="13.5">
      <c r="A7" s="14">
        <v>15</v>
      </c>
      <c r="B7" s="198" t="s">
        <v>38</v>
      </c>
      <c r="C7" s="200"/>
      <c r="D7" s="199"/>
      <c r="E7" s="15">
        <f>SUM(E5:E6)</f>
        <v>12</v>
      </c>
      <c r="F7" s="184">
        <f aca="true" t="shared" si="0" ref="F7:AD7">SUM(F5:F6)</f>
        <v>0</v>
      </c>
      <c r="G7" s="184">
        <f t="shared" si="0"/>
        <v>0</v>
      </c>
      <c r="H7" s="15">
        <f t="shared" si="0"/>
        <v>361</v>
      </c>
      <c r="I7" s="15">
        <f t="shared" si="0"/>
        <v>31</v>
      </c>
      <c r="J7" s="15">
        <f t="shared" si="0"/>
        <v>13</v>
      </c>
      <c r="K7" s="15">
        <f t="shared" si="0"/>
        <v>18</v>
      </c>
      <c r="L7" s="15">
        <f t="shared" si="0"/>
        <v>318</v>
      </c>
      <c r="M7" s="15">
        <f t="shared" si="0"/>
        <v>180</v>
      </c>
      <c r="N7" s="15">
        <f t="shared" si="0"/>
        <v>930</v>
      </c>
      <c r="O7" s="15">
        <f t="shared" si="0"/>
        <v>79</v>
      </c>
      <c r="P7" s="15">
        <f t="shared" si="0"/>
        <v>217</v>
      </c>
      <c r="Q7" s="15">
        <f t="shared" si="0"/>
        <v>6</v>
      </c>
      <c r="R7" s="15">
        <f t="shared" si="0"/>
        <v>31</v>
      </c>
      <c r="S7" s="17">
        <f t="shared" si="0"/>
        <v>8</v>
      </c>
      <c r="T7" s="18">
        <f t="shared" si="0"/>
        <v>31</v>
      </c>
      <c r="U7" s="138">
        <f t="shared" si="0"/>
        <v>31</v>
      </c>
      <c r="V7" s="15">
        <f t="shared" si="0"/>
        <v>27</v>
      </c>
      <c r="W7" s="15">
        <f t="shared" si="0"/>
        <v>31</v>
      </c>
      <c r="X7" s="15">
        <f t="shared" si="0"/>
        <v>0</v>
      </c>
      <c r="Y7" s="15">
        <f t="shared" si="0"/>
        <v>104</v>
      </c>
      <c r="Z7" s="15">
        <f t="shared" si="0"/>
        <v>138</v>
      </c>
      <c r="AA7" s="15">
        <f t="shared" si="0"/>
        <v>62</v>
      </c>
      <c r="AB7" s="15">
        <f t="shared" si="0"/>
        <v>13</v>
      </c>
      <c r="AC7" s="17">
        <f t="shared" si="0"/>
        <v>30</v>
      </c>
      <c r="AD7" s="25">
        <f t="shared" si="0"/>
        <v>2671</v>
      </c>
    </row>
    <row r="8" spans="1:30" ht="13.5">
      <c r="A8" s="14">
        <v>3</v>
      </c>
      <c r="B8" s="207" t="s">
        <v>24</v>
      </c>
      <c r="C8" s="198" t="s">
        <v>25</v>
      </c>
      <c r="D8" s="199"/>
      <c r="E8" s="20"/>
      <c r="F8" s="186"/>
      <c r="G8" s="187"/>
      <c r="H8" s="21"/>
      <c r="I8" s="20"/>
      <c r="J8" s="20"/>
      <c r="K8" s="15"/>
      <c r="L8" s="15"/>
      <c r="M8" s="15"/>
      <c r="N8" s="20"/>
      <c r="O8" s="20"/>
      <c r="P8" s="20"/>
      <c r="Q8" s="20"/>
      <c r="R8" s="20"/>
      <c r="S8" s="22"/>
      <c r="T8" s="141">
        <v>1</v>
      </c>
      <c r="U8" s="23"/>
      <c r="V8" s="20"/>
      <c r="W8" s="23"/>
      <c r="X8" s="20"/>
      <c r="Y8" s="20"/>
      <c r="Z8" s="20">
        <v>2</v>
      </c>
      <c r="AA8" s="20"/>
      <c r="AB8" s="20"/>
      <c r="AC8" s="22"/>
      <c r="AD8" s="13">
        <f>SUM(E8:AC8)</f>
        <v>3</v>
      </c>
    </row>
    <row r="9" spans="1:30" ht="13.5">
      <c r="A9" s="14">
        <v>4</v>
      </c>
      <c r="B9" s="208"/>
      <c r="C9" s="198" t="s">
        <v>26</v>
      </c>
      <c r="D9" s="199"/>
      <c r="E9" s="15"/>
      <c r="F9" s="186"/>
      <c r="G9" s="187"/>
      <c r="H9" s="21">
        <v>1</v>
      </c>
      <c r="I9" s="20"/>
      <c r="J9" s="20"/>
      <c r="K9" s="20"/>
      <c r="L9" s="15"/>
      <c r="M9" s="15"/>
      <c r="N9" s="20">
        <v>12</v>
      </c>
      <c r="O9" s="20"/>
      <c r="P9" s="20"/>
      <c r="Q9" s="20"/>
      <c r="R9" s="20"/>
      <c r="S9" s="22"/>
      <c r="T9" s="141"/>
      <c r="U9" s="23"/>
      <c r="V9" s="20"/>
      <c r="W9" s="23"/>
      <c r="X9" s="20"/>
      <c r="Y9" s="20"/>
      <c r="Z9" s="20"/>
      <c r="AA9" s="20"/>
      <c r="AB9" s="20"/>
      <c r="AC9" s="22"/>
      <c r="AD9" s="13">
        <f>SUM(E9:AC9)</f>
        <v>13</v>
      </c>
    </row>
    <row r="10" spans="1:30" ht="13.5">
      <c r="A10" s="14">
        <v>5</v>
      </c>
      <c r="B10" s="208"/>
      <c r="C10" s="198" t="s">
        <v>27</v>
      </c>
      <c r="D10" s="199"/>
      <c r="E10" s="15"/>
      <c r="F10" s="186"/>
      <c r="G10" s="187"/>
      <c r="H10" s="21"/>
      <c r="I10" s="20"/>
      <c r="J10" s="20"/>
      <c r="K10" s="20"/>
      <c r="L10" s="15">
        <v>1</v>
      </c>
      <c r="M10" s="15"/>
      <c r="N10" s="20"/>
      <c r="O10" s="20"/>
      <c r="P10" s="20"/>
      <c r="Q10" s="20"/>
      <c r="R10" s="20"/>
      <c r="S10" s="22"/>
      <c r="T10" s="141"/>
      <c r="U10" s="23"/>
      <c r="V10" s="20"/>
      <c r="W10" s="23"/>
      <c r="X10" s="20"/>
      <c r="Y10" s="20"/>
      <c r="Z10" s="20"/>
      <c r="AA10" s="20"/>
      <c r="AB10" s="20"/>
      <c r="AC10" s="22"/>
      <c r="AD10" s="13">
        <f>SUM(E10:AC10)</f>
        <v>1</v>
      </c>
    </row>
    <row r="11" spans="1:30" ht="13.5">
      <c r="A11" s="14">
        <v>6</v>
      </c>
      <c r="B11" s="208"/>
      <c r="C11" s="198" t="s">
        <v>28</v>
      </c>
      <c r="D11" s="199"/>
      <c r="E11" s="15"/>
      <c r="F11" s="186"/>
      <c r="G11" s="187"/>
      <c r="H11" s="21"/>
      <c r="I11" s="20"/>
      <c r="J11" s="20"/>
      <c r="K11" s="15"/>
      <c r="L11" s="20"/>
      <c r="M11" s="20"/>
      <c r="N11" s="20">
        <v>1</v>
      </c>
      <c r="O11" s="20"/>
      <c r="P11" s="20">
        <v>1</v>
      </c>
      <c r="Q11" s="20"/>
      <c r="R11" s="20"/>
      <c r="S11" s="22"/>
      <c r="T11" s="141"/>
      <c r="U11" s="23"/>
      <c r="V11" s="20"/>
      <c r="W11" s="23"/>
      <c r="X11" s="20"/>
      <c r="Y11" s="20"/>
      <c r="Z11" s="20"/>
      <c r="AA11" s="20"/>
      <c r="AB11" s="20"/>
      <c r="AC11" s="22"/>
      <c r="AD11" s="13">
        <f>SUM(E11:AC11)</f>
        <v>2</v>
      </c>
    </row>
    <row r="12" spans="1:30" ht="13.5">
      <c r="A12" s="14">
        <v>7</v>
      </c>
      <c r="B12" s="208"/>
      <c r="C12" s="198" t="s">
        <v>29</v>
      </c>
      <c r="D12" s="199"/>
      <c r="E12" s="16">
        <f>E8+E9</f>
        <v>0</v>
      </c>
      <c r="F12" s="185">
        <f aca="true" t="shared" si="1" ref="F12:AD12">F8+F9</f>
        <v>0</v>
      </c>
      <c r="G12" s="185">
        <f t="shared" si="1"/>
        <v>0</v>
      </c>
      <c r="H12" s="16">
        <f t="shared" si="1"/>
        <v>1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12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33">
        <f>S8+S9</f>
        <v>0</v>
      </c>
      <c r="T12" s="142">
        <f t="shared" si="1"/>
        <v>1</v>
      </c>
      <c r="U12" s="140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2</v>
      </c>
      <c r="AA12" s="16">
        <f t="shared" si="1"/>
        <v>0</v>
      </c>
      <c r="AB12" s="16">
        <f t="shared" si="1"/>
        <v>0</v>
      </c>
      <c r="AC12" s="33">
        <f t="shared" si="1"/>
        <v>0</v>
      </c>
      <c r="AD12" s="36">
        <f t="shared" si="1"/>
        <v>16</v>
      </c>
    </row>
    <row r="13" spans="1:30" ht="13.5">
      <c r="A13" s="14">
        <v>8</v>
      </c>
      <c r="B13" s="209"/>
      <c r="C13" s="198" t="s">
        <v>30</v>
      </c>
      <c r="D13" s="199"/>
      <c r="E13" s="16">
        <f>E10+E11</f>
        <v>0</v>
      </c>
      <c r="F13" s="185">
        <f aca="true" t="shared" si="2" ref="F13:AD13">F10+F11</f>
        <v>0</v>
      </c>
      <c r="G13" s="185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1</v>
      </c>
      <c r="M13" s="16">
        <f t="shared" si="2"/>
        <v>0</v>
      </c>
      <c r="N13" s="16">
        <f t="shared" si="2"/>
        <v>1</v>
      </c>
      <c r="O13" s="16">
        <f t="shared" si="2"/>
        <v>0</v>
      </c>
      <c r="P13" s="16">
        <f t="shared" si="2"/>
        <v>1</v>
      </c>
      <c r="Q13" s="16">
        <f t="shared" si="2"/>
        <v>0</v>
      </c>
      <c r="R13" s="16">
        <f t="shared" si="2"/>
        <v>0</v>
      </c>
      <c r="S13" s="33">
        <f>S10+S11</f>
        <v>0</v>
      </c>
      <c r="T13" s="142">
        <f t="shared" si="2"/>
        <v>0</v>
      </c>
      <c r="U13" s="140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6">
        <f t="shared" si="2"/>
        <v>0</v>
      </c>
      <c r="AC13" s="33">
        <f t="shared" si="2"/>
        <v>0</v>
      </c>
      <c r="AD13" s="36">
        <f t="shared" si="2"/>
        <v>3</v>
      </c>
    </row>
    <row r="14" spans="1:30" ht="13.5">
      <c r="A14" s="14">
        <v>9</v>
      </c>
      <c r="B14" s="207" t="s">
        <v>31</v>
      </c>
      <c r="C14" s="24" t="s">
        <v>32</v>
      </c>
      <c r="D14" s="24" t="s">
        <v>33</v>
      </c>
      <c r="E14" s="15"/>
      <c r="F14" s="184"/>
      <c r="G14" s="185"/>
      <c r="H14" s="16">
        <v>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8"/>
      <c r="U14" s="19"/>
      <c r="V14" s="15"/>
      <c r="W14" s="19"/>
      <c r="X14" s="15"/>
      <c r="Y14" s="15"/>
      <c r="Z14" s="15"/>
      <c r="AA14" s="15"/>
      <c r="AB14" s="15"/>
      <c r="AC14" s="17"/>
      <c r="AD14" s="25">
        <f>SUM(E14:AC14)</f>
        <v>1</v>
      </c>
    </row>
    <row r="15" spans="1:30" ht="13.5">
      <c r="A15" s="26"/>
      <c r="B15" s="208"/>
      <c r="C15" s="27"/>
      <c r="D15" s="24" t="s">
        <v>34</v>
      </c>
      <c r="E15" s="15"/>
      <c r="F15" s="185"/>
      <c r="G15" s="185"/>
      <c r="H15" s="16">
        <v>53</v>
      </c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7"/>
      <c r="T15" s="18"/>
      <c r="U15" s="19"/>
      <c r="V15" s="15"/>
      <c r="W15" s="19"/>
      <c r="X15" s="15"/>
      <c r="Y15" s="15"/>
      <c r="Z15" s="15"/>
      <c r="AA15" s="15"/>
      <c r="AB15" s="15"/>
      <c r="AC15" s="17"/>
      <c r="AD15" s="25">
        <f aca="true" t="shared" si="3" ref="AD15:AD21">SUM(E15:AC15)</f>
        <v>53</v>
      </c>
    </row>
    <row r="16" spans="1:30" ht="13.5">
      <c r="A16" s="14">
        <v>10</v>
      </c>
      <c r="B16" s="208"/>
      <c r="C16" s="24" t="s">
        <v>26</v>
      </c>
      <c r="D16" s="24" t="s">
        <v>33</v>
      </c>
      <c r="E16" s="15">
        <v>1</v>
      </c>
      <c r="F16" s="184"/>
      <c r="G16" s="185"/>
      <c r="H16" s="16">
        <v>57</v>
      </c>
      <c r="I16" s="15">
        <v>8</v>
      </c>
      <c r="J16" s="15">
        <v>1</v>
      </c>
      <c r="K16" s="15">
        <v>1</v>
      </c>
      <c r="L16" s="15">
        <v>111</v>
      </c>
      <c r="M16" s="15">
        <v>4</v>
      </c>
      <c r="N16" s="15">
        <v>157</v>
      </c>
      <c r="O16" s="15">
        <v>13</v>
      </c>
      <c r="P16" s="15">
        <v>2</v>
      </c>
      <c r="Q16" s="15"/>
      <c r="R16" s="15">
        <v>3</v>
      </c>
      <c r="S16" s="17"/>
      <c r="T16" s="18">
        <v>14</v>
      </c>
      <c r="U16" s="19"/>
      <c r="V16" s="15">
        <v>2</v>
      </c>
      <c r="W16" s="19"/>
      <c r="X16" s="15"/>
      <c r="Y16" s="15">
        <v>4</v>
      </c>
      <c r="Z16" s="15">
        <v>9</v>
      </c>
      <c r="AA16" s="15">
        <v>3</v>
      </c>
      <c r="AB16" s="15">
        <v>2</v>
      </c>
      <c r="AC16" s="17">
        <v>4</v>
      </c>
      <c r="AD16" s="25">
        <f t="shared" si="3"/>
        <v>396</v>
      </c>
    </row>
    <row r="17" spans="1:30" ht="13.5">
      <c r="A17" s="14" t="s">
        <v>35</v>
      </c>
      <c r="B17" s="208"/>
      <c r="C17" s="27"/>
      <c r="D17" s="24" t="s">
        <v>34</v>
      </c>
      <c r="E17" s="15">
        <v>25</v>
      </c>
      <c r="F17" s="184"/>
      <c r="G17" s="185"/>
      <c r="H17" s="16">
        <f>37*60+19</f>
        <v>2239</v>
      </c>
      <c r="I17" s="16">
        <f>1*60+55</f>
        <v>115</v>
      </c>
      <c r="J17" s="15">
        <f>7*60</f>
        <v>420</v>
      </c>
      <c r="K17" s="15">
        <v>45</v>
      </c>
      <c r="L17" s="15">
        <f>55*60</f>
        <v>3300</v>
      </c>
      <c r="M17" s="15">
        <v>466</v>
      </c>
      <c r="N17" s="15">
        <f>148*60</f>
        <v>8880</v>
      </c>
      <c r="O17" s="15">
        <f>26*60+56</f>
        <v>1616</v>
      </c>
      <c r="P17" s="15">
        <f>160+12</f>
        <v>172</v>
      </c>
      <c r="Q17" s="15"/>
      <c r="R17" s="15">
        <v>55</v>
      </c>
      <c r="S17" s="17"/>
      <c r="T17" s="18">
        <v>862</v>
      </c>
      <c r="U17" s="19"/>
      <c r="V17" s="15">
        <v>43</v>
      </c>
      <c r="W17" s="19"/>
      <c r="X17" s="15"/>
      <c r="Y17" s="15">
        <v>125</v>
      </c>
      <c r="Z17" s="15">
        <f>4*60+8</f>
        <v>248</v>
      </c>
      <c r="AA17" s="15">
        <f>1*60+17</f>
        <v>77</v>
      </c>
      <c r="AB17" s="15">
        <f>6*60+59</f>
        <v>419</v>
      </c>
      <c r="AC17" s="17">
        <v>110</v>
      </c>
      <c r="AD17" s="25">
        <f t="shared" si="3"/>
        <v>19217</v>
      </c>
    </row>
    <row r="18" spans="1:30" ht="13.5">
      <c r="A18" s="14">
        <v>11</v>
      </c>
      <c r="B18" s="208"/>
      <c r="C18" s="24" t="s">
        <v>27</v>
      </c>
      <c r="D18" s="24" t="s">
        <v>33</v>
      </c>
      <c r="E18" s="15"/>
      <c r="F18" s="184"/>
      <c r="G18" s="185"/>
      <c r="H18" s="16">
        <v>16</v>
      </c>
      <c r="I18" s="15"/>
      <c r="J18" s="15"/>
      <c r="K18" s="15"/>
      <c r="L18" s="15">
        <v>26</v>
      </c>
      <c r="M18" s="15">
        <v>8</v>
      </c>
      <c r="N18" s="15">
        <v>42</v>
      </c>
      <c r="O18" s="15"/>
      <c r="P18" s="15">
        <v>4</v>
      </c>
      <c r="Q18" s="15"/>
      <c r="R18" s="15"/>
      <c r="S18" s="17"/>
      <c r="T18" s="18"/>
      <c r="U18" s="19"/>
      <c r="V18" s="15"/>
      <c r="W18" s="19"/>
      <c r="X18" s="15"/>
      <c r="Y18" s="15">
        <v>1</v>
      </c>
      <c r="Z18" s="15">
        <v>7</v>
      </c>
      <c r="AA18" s="15"/>
      <c r="AB18" s="15"/>
      <c r="AC18" s="17">
        <v>1</v>
      </c>
      <c r="AD18" s="25">
        <f t="shared" si="3"/>
        <v>105</v>
      </c>
    </row>
    <row r="19" spans="1:30" ht="13.5">
      <c r="A19" s="26"/>
      <c r="B19" s="208"/>
      <c r="C19" s="27"/>
      <c r="D19" s="24" t="s">
        <v>34</v>
      </c>
      <c r="E19" s="15"/>
      <c r="F19" s="185"/>
      <c r="G19" s="185"/>
      <c r="H19" s="16">
        <f>41*60</f>
        <v>2460</v>
      </c>
      <c r="I19" s="16"/>
      <c r="J19" s="15"/>
      <c r="K19" s="15"/>
      <c r="L19" s="15">
        <f>26*60</f>
        <v>1560</v>
      </c>
      <c r="M19" s="15">
        <v>1276</v>
      </c>
      <c r="N19" s="15">
        <f>82*60</f>
        <v>4920</v>
      </c>
      <c r="O19" s="15"/>
      <c r="P19" s="15">
        <f>8*60+11</f>
        <v>491</v>
      </c>
      <c r="Q19" s="15"/>
      <c r="R19" s="15"/>
      <c r="S19" s="17"/>
      <c r="T19" s="18"/>
      <c r="U19" s="19"/>
      <c r="V19" s="15"/>
      <c r="W19" s="19"/>
      <c r="X19" s="15"/>
      <c r="Y19" s="15">
        <v>120</v>
      </c>
      <c r="Z19" s="15">
        <f>8*60+1</f>
        <v>481</v>
      </c>
      <c r="AA19" s="15"/>
      <c r="AB19" s="15"/>
      <c r="AC19" s="17">
        <v>18</v>
      </c>
      <c r="AD19" s="25">
        <f t="shared" si="3"/>
        <v>11326</v>
      </c>
    </row>
    <row r="20" spans="1:30" ht="13.5">
      <c r="A20" s="14">
        <v>12</v>
      </c>
      <c r="B20" s="208"/>
      <c r="C20" s="24" t="s">
        <v>28</v>
      </c>
      <c r="D20" s="24" t="s">
        <v>33</v>
      </c>
      <c r="E20" s="15">
        <v>1</v>
      </c>
      <c r="F20" s="184"/>
      <c r="G20" s="185"/>
      <c r="H20" s="16">
        <v>79</v>
      </c>
      <c r="I20" s="15"/>
      <c r="J20" s="15">
        <v>1</v>
      </c>
      <c r="K20" s="15">
        <v>1</v>
      </c>
      <c r="L20" s="15">
        <v>62</v>
      </c>
      <c r="M20" s="15">
        <v>20</v>
      </c>
      <c r="N20" s="15">
        <v>53</v>
      </c>
      <c r="O20" s="15">
        <v>7</v>
      </c>
      <c r="P20" s="15">
        <v>1</v>
      </c>
      <c r="Q20" s="15">
        <v>1</v>
      </c>
      <c r="R20" s="15">
        <v>7</v>
      </c>
      <c r="S20" s="17">
        <v>4</v>
      </c>
      <c r="T20" s="18"/>
      <c r="U20" s="19">
        <v>3</v>
      </c>
      <c r="V20" s="15">
        <v>3</v>
      </c>
      <c r="W20" s="19"/>
      <c r="X20" s="15"/>
      <c r="Y20" s="15">
        <v>6</v>
      </c>
      <c r="Z20" s="15">
        <v>3</v>
      </c>
      <c r="AA20" s="15">
        <v>1</v>
      </c>
      <c r="AB20" s="15">
        <v>3</v>
      </c>
      <c r="AC20" s="17"/>
      <c r="AD20" s="25">
        <f t="shared" si="3"/>
        <v>256</v>
      </c>
    </row>
    <row r="21" spans="1:30" ht="13.5">
      <c r="A21" s="26"/>
      <c r="B21" s="208"/>
      <c r="C21" s="27"/>
      <c r="D21" s="24" t="s">
        <v>34</v>
      </c>
      <c r="E21" s="15">
        <v>35</v>
      </c>
      <c r="F21" s="185"/>
      <c r="G21" s="185"/>
      <c r="H21" s="16">
        <f>39*60+37</f>
        <v>2377</v>
      </c>
      <c r="I21" s="16"/>
      <c r="J21" s="15">
        <f>3*60</f>
        <v>180</v>
      </c>
      <c r="K21" s="15">
        <v>35</v>
      </c>
      <c r="L21" s="15">
        <f>34*60</f>
        <v>2040</v>
      </c>
      <c r="M21" s="15">
        <v>990</v>
      </c>
      <c r="N21" s="15">
        <f>49*60</f>
        <v>2940</v>
      </c>
      <c r="O21" s="15">
        <f>8*60+34</f>
        <v>514</v>
      </c>
      <c r="P21" s="15">
        <f>3*60+57</f>
        <v>237</v>
      </c>
      <c r="Q21" s="15">
        <v>1560</v>
      </c>
      <c r="R21" s="15">
        <v>145</v>
      </c>
      <c r="S21" s="17">
        <v>92</v>
      </c>
      <c r="T21" s="18"/>
      <c r="U21" s="19">
        <f>1*60+10</f>
        <v>70</v>
      </c>
      <c r="V21" s="15">
        <f>3*60+39</f>
        <v>219</v>
      </c>
      <c r="W21" s="19"/>
      <c r="X21" s="15"/>
      <c r="Y21" s="15">
        <v>221</v>
      </c>
      <c r="Z21" s="15">
        <f>1*60</f>
        <v>60</v>
      </c>
      <c r="AA21" s="15">
        <f>1*60+32</f>
        <v>92</v>
      </c>
      <c r="AB21" s="15">
        <f>1*60+51</f>
        <v>111</v>
      </c>
      <c r="AC21" s="17"/>
      <c r="AD21" s="25">
        <f t="shared" si="3"/>
        <v>11918</v>
      </c>
    </row>
    <row r="22" spans="1:30" ht="13.5">
      <c r="A22" s="14">
        <v>13</v>
      </c>
      <c r="B22" s="208"/>
      <c r="C22" s="198" t="s">
        <v>36</v>
      </c>
      <c r="D22" s="199"/>
      <c r="E22" s="15">
        <f>E14+E16+E18+E20</f>
        <v>2</v>
      </c>
      <c r="F22" s="184">
        <f aca="true" t="shared" si="4" ref="F22:AD23">F14+F16+F18+F20</f>
        <v>0</v>
      </c>
      <c r="G22" s="184">
        <f t="shared" si="4"/>
        <v>0</v>
      </c>
      <c r="H22" s="15">
        <f t="shared" si="4"/>
        <v>153</v>
      </c>
      <c r="I22" s="15">
        <f t="shared" si="4"/>
        <v>8</v>
      </c>
      <c r="J22" s="15">
        <f t="shared" si="4"/>
        <v>2</v>
      </c>
      <c r="K22" s="15">
        <f t="shared" si="4"/>
        <v>2</v>
      </c>
      <c r="L22" s="15">
        <f t="shared" si="4"/>
        <v>199</v>
      </c>
      <c r="M22" s="15">
        <f t="shared" si="4"/>
        <v>32</v>
      </c>
      <c r="N22" s="15">
        <f t="shared" si="4"/>
        <v>252</v>
      </c>
      <c r="O22" s="15">
        <f t="shared" si="4"/>
        <v>20</v>
      </c>
      <c r="P22" s="15">
        <f t="shared" si="4"/>
        <v>7</v>
      </c>
      <c r="Q22" s="15">
        <f t="shared" si="4"/>
        <v>1</v>
      </c>
      <c r="R22" s="15">
        <f t="shared" si="4"/>
        <v>10</v>
      </c>
      <c r="S22" s="17">
        <f>S14+S16+S18+S20</f>
        <v>4</v>
      </c>
      <c r="T22" s="18">
        <f t="shared" si="4"/>
        <v>14</v>
      </c>
      <c r="U22" s="138">
        <f t="shared" si="4"/>
        <v>3</v>
      </c>
      <c r="V22" s="15">
        <f t="shared" si="4"/>
        <v>5</v>
      </c>
      <c r="W22" s="15">
        <f t="shared" si="4"/>
        <v>0</v>
      </c>
      <c r="X22" s="15">
        <f t="shared" si="4"/>
        <v>0</v>
      </c>
      <c r="Y22" s="15">
        <f t="shared" si="4"/>
        <v>11</v>
      </c>
      <c r="Z22" s="15">
        <f t="shared" si="4"/>
        <v>19</v>
      </c>
      <c r="AA22" s="15">
        <f t="shared" si="4"/>
        <v>4</v>
      </c>
      <c r="AB22" s="15">
        <f t="shared" si="4"/>
        <v>5</v>
      </c>
      <c r="AC22" s="17">
        <f t="shared" si="4"/>
        <v>5</v>
      </c>
      <c r="AD22" s="25">
        <f t="shared" si="4"/>
        <v>758</v>
      </c>
    </row>
    <row r="23" spans="1:30" ht="13.5">
      <c r="A23" s="14">
        <v>14</v>
      </c>
      <c r="B23" s="209"/>
      <c r="C23" s="198" t="s">
        <v>37</v>
      </c>
      <c r="D23" s="199"/>
      <c r="E23" s="15">
        <f>E15+E17+E19+E21</f>
        <v>60</v>
      </c>
      <c r="F23" s="184">
        <f t="shared" si="4"/>
        <v>0</v>
      </c>
      <c r="G23" s="184">
        <f t="shared" si="4"/>
        <v>0</v>
      </c>
      <c r="H23" s="15">
        <f t="shared" si="4"/>
        <v>7129</v>
      </c>
      <c r="I23" s="15">
        <f t="shared" si="4"/>
        <v>115</v>
      </c>
      <c r="J23" s="15">
        <f t="shared" si="4"/>
        <v>600</v>
      </c>
      <c r="K23" s="15">
        <f t="shared" si="4"/>
        <v>80</v>
      </c>
      <c r="L23" s="15">
        <f t="shared" si="4"/>
        <v>6900</v>
      </c>
      <c r="M23" s="15">
        <f t="shared" si="4"/>
        <v>2732</v>
      </c>
      <c r="N23" s="15">
        <f t="shared" si="4"/>
        <v>16740</v>
      </c>
      <c r="O23" s="15">
        <f t="shared" si="4"/>
        <v>2130</v>
      </c>
      <c r="P23" s="15">
        <f t="shared" si="4"/>
        <v>900</v>
      </c>
      <c r="Q23" s="15">
        <f t="shared" si="4"/>
        <v>1560</v>
      </c>
      <c r="R23" s="15">
        <f t="shared" si="4"/>
        <v>200</v>
      </c>
      <c r="S23" s="17">
        <f>S15+S17+S19+S21</f>
        <v>92</v>
      </c>
      <c r="T23" s="18">
        <f t="shared" si="4"/>
        <v>862</v>
      </c>
      <c r="U23" s="138">
        <f t="shared" si="4"/>
        <v>70</v>
      </c>
      <c r="V23" s="15">
        <f t="shared" si="4"/>
        <v>262</v>
      </c>
      <c r="W23" s="15">
        <f t="shared" si="4"/>
        <v>0</v>
      </c>
      <c r="X23" s="15">
        <f t="shared" si="4"/>
        <v>0</v>
      </c>
      <c r="Y23" s="15">
        <f t="shared" si="4"/>
        <v>466</v>
      </c>
      <c r="Z23" s="15">
        <f t="shared" si="4"/>
        <v>789</v>
      </c>
      <c r="AA23" s="15">
        <f t="shared" si="4"/>
        <v>169</v>
      </c>
      <c r="AB23" s="15">
        <f t="shared" si="4"/>
        <v>530</v>
      </c>
      <c r="AC23" s="17">
        <f t="shared" si="4"/>
        <v>128</v>
      </c>
      <c r="AD23" s="25">
        <f t="shared" si="4"/>
        <v>42514</v>
      </c>
    </row>
    <row r="24" spans="1:30" ht="13.5">
      <c r="A24" s="14">
        <v>16</v>
      </c>
      <c r="B24" s="198" t="s">
        <v>39</v>
      </c>
      <c r="C24" s="200"/>
      <c r="D24" s="199"/>
      <c r="E24" s="15">
        <f>E7-E12</f>
        <v>12</v>
      </c>
      <c r="F24" s="184">
        <f aca="true" t="shared" si="5" ref="F24:AD24">F7-F12</f>
        <v>0</v>
      </c>
      <c r="G24" s="184">
        <f t="shared" si="5"/>
        <v>0</v>
      </c>
      <c r="H24" s="15">
        <f t="shared" si="5"/>
        <v>360</v>
      </c>
      <c r="I24" s="15">
        <f t="shared" si="5"/>
        <v>31</v>
      </c>
      <c r="J24" s="15">
        <f t="shared" si="5"/>
        <v>13</v>
      </c>
      <c r="K24" s="15">
        <f t="shared" si="5"/>
        <v>18</v>
      </c>
      <c r="L24" s="15">
        <f t="shared" si="5"/>
        <v>318</v>
      </c>
      <c r="M24" s="15">
        <f t="shared" si="5"/>
        <v>180</v>
      </c>
      <c r="N24" s="15">
        <f t="shared" si="5"/>
        <v>918</v>
      </c>
      <c r="O24" s="15">
        <f t="shared" si="5"/>
        <v>79</v>
      </c>
      <c r="P24" s="15">
        <f t="shared" si="5"/>
        <v>217</v>
      </c>
      <c r="Q24" s="15">
        <f t="shared" si="5"/>
        <v>6</v>
      </c>
      <c r="R24" s="15">
        <f t="shared" si="5"/>
        <v>31</v>
      </c>
      <c r="S24" s="17">
        <f>S7-S12</f>
        <v>8</v>
      </c>
      <c r="T24" s="18">
        <f t="shared" si="5"/>
        <v>30</v>
      </c>
      <c r="U24" s="138">
        <f t="shared" si="5"/>
        <v>31</v>
      </c>
      <c r="V24" s="15">
        <f t="shared" si="5"/>
        <v>27</v>
      </c>
      <c r="W24" s="15">
        <f t="shared" si="5"/>
        <v>31</v>
      </c>
      <c r="X24" s="15">
        <f t="shared" si="5"/>
        <v>0</v>
      </c>
      <c r="Y24" s="15">
        <f t="shared" si="5"/>
        <v>104</v>
      </c>
      <c r="Z24" s="15">
        <f t="shared" si="5"/>
        <v>136</v>
      </c>
      <c r="AA24" s="15">
        <f t="shared" si="5"/>
        <v>62</v>
      </c>
      <c r="AB24" s="15">
        <f t="shared" si="5"/>
        <v>13</v>
      </c>
      <c r="AC24" s="17">
        <f t="shared" si="5"/>
        <v>30</v>
      </c>
      <c r="AD24" s="25">
        <f t="shared" si="5"/>
        <v>2655</v>
      </c>
    </row>
    <row r="25" spans="1:30" ht="13.5">
      <c r="A25" s="14">
        <v>17</v>
      </c>
      <c r="B25" s="198" t="s">
        <v>40</v>
      </c>
      <c r="C25" s="200"/>
      <c r="D25" s="199"/>
      <c r="E25" s="15">
        <f>E24-E22-E13</f>
        <v>10</v>
      </c>
      <c r="F25" s="184">
        <f aca="true" t="shared" si="6" ref="F25:AD25">F24-F22-F13</f>
        <v>0</v>
      </c>
      <c r="G25" s="184">
        <f t="shared" si="6"/>
        <v>0</v>
      </c>
      <c r="H25" s="15">
        <f t="shared" si="6"/>
        <v>207</v>
      </c>
      <c r="I25" s="15">
        <f t="shared" si="6"/>
        <v>23</v>
      </c>
      <c r="J25" s="15">
        <f t="shared" si="6"/>
        <v>11</v>
      </c>
      <c r="K25" s="15">
        <f t="shared" si="6"/>
        <v>16</v>
      </c>
      <c r="L25" s="15">
        <f t="shared" si="6"/>
        <v>118</v>
      </c>
      <c r="M25" s="15">
        <f t="shared" si="6"/>
        <v>148</v>
      </c>
      <c r="N25" s="15">
        <f t="shared" si="6"/>
        <v>665</v>
      </c>
      <c r="O25" s="15">
        <f t="shared" si="6"/>
        <v>59</v>
      </c>
      <c r="P25" s="15">
        <f t="shared" si="6"/>
        <v>209</v>
      </c>
      <c r="Q25" s="15">
        <f t="shared" si="6"/>
        <v>5</v>
      </c>
      <c r="R25" s="15">
        <f t="shared" si="6"/>
        <v>21</v>
      </c>
      <c r="S25" s="17">
        <f t="shared" si="6"/>
        <v>4</v>
      </c>
      <c r="T25" s="18">
        <f t="shared" si="6"/>
        <v>16</v>
      </c>
      <c r="U25" s="138">
        <f t="shared" si="6"/>
        <v>28</v>
      </c>
      <c r="V25" s="15">
        <f t="shared" si="6"/>
        <v>22</v>
      </c>
      <c r="W25" s="15">
        <f t="shared" si="6"/>
        <v>31</v>
      </c>
      <c r="X25" s="15">
        <f t="shared" si="6"/>
        <v>0</v>
      </c>
      <c r="Y25" s="15">
        <f t="shared" si="6"/>
        <v>93</v>
      </c>
      <c r="Z25" s="15">
        <f t="shared" si="6"/>
        <v>117</v>
      </c>
      <c r="AA25" s="15">
        <f t="shared" si="6"/>
        <v>58</v>
      </c>
      <c r="AB25" s="15">
        <f t="shared" si="6"/>
        <v>8</v>
      </c>
      <c r="AC25" s="17">
        <f t="shared" si="6"/>
        <v>25</v>
      </c>
      <c r="AD25" s="25">
        <f t="shared" si="6"/>
        <v>1894</v>
      </c>
    </row>
    <row r="26" spans="1:30" ht="13.5">
      <c r="A26" s="14">
        <v>18</v>
      </c>
      <c r="B26" s="198" t="s">
        <v>41</v>
      </c>
      <c r="C26" s="200"/>
      <c r="D26" s="199"/>
      <c r="E26" s="29">
        <f>IF(E24=0,0,(E25+E16)/E24)</f>
        <v>0.9166666666666666</v>
      </c>
      <c r="F26" s="188">
        <f aca="true" t="shared" si="7" ref="F26:AD26">IF(F24=0,0,(F25+F16)/F24)</f>
        <v>0</v>
      </c>
      <c r="G26" s="188">
        <f t="shared" si="7"/>
        <v>0</v>
      </c>
      <c r="H26" s="29">
        <f t="shared" si="7"/>
        <v>0.7333333333333333</v>
      </c>
      <c r="I26" s="29">
        <f t="shared" si="7"/>
        <v>1</v>
      </c>
      <c r="J26" s="29">
        <f t="shared" si="7"/>
        <v>0.9230769230769231</v>
      </c>
      <c r="K26" s="29">
        <f t="shared" si="7"/>
        <v>0.9444444444444444</v>
      </c>
      <c r="L26" s="29">
        <f t="shared" si="7"/>
        <v>0.720125786163522</v>
      </c>
      <c r="M26" s="29">
        <f t="shared" si="7"/>
        <v>0.8444444444444444</v>
      </c>
      <c r="N26" s="29">
        <f t="shared" si="7"/>
        <v>0.8954248366013072</v>
      </c>
      <c r="O26" s="29">
        <f t="shared" si="7"/>
        <v>0.9113924050632911</v>
      </c>
      <c r="P26" s="29">
        <f t="shared" si="7"/>
        <v>0.9723502304147466</v>
      </c>
      <c r="Q26" s="29">
        <f t="shared" si="7"/>
        <v>0.8333333333333334</v>
      </c>
      <c r="R26" s="29">
        <f t="shared" si="7"/>
        <v>0.7741935483870968</v>
      </c>
      <c r="S26" s="34">
        <f t="shared" si="7"/>
        <v>0.5</v>
      </c>
      <c r="T26" s="178">
        <f t="shared" si="7"/>
        <v>1</v>
      </c>
      <c r="U26" s="175">
        <f t="shared" si="7"/>
        <v>0.9032258064516129</v>
      </c>
      <c r="V26" s="29">
        <f t="shared" si="7"/>
        <v>0.8888888888888888</v>
      </c>
      <c r="W26" s="29">
        <f t="shared" si="7"/>
        <v>1</v>
      </c>
      <c r="X26" s="29">
        <f t="shared" si="7"/>
        <v>0</v>
      </c>
      <c r="Y26" s="29">
        <f t="shared" si="7"/>
        <v>0.9326923076923077</v>
      </c>
      <c r="Z26" s="29">
        <f t="shared" si="7"/>
        <v>0.9264705882352942</v>
      </c>
      <c r="AA26" s="29">
        <f t="shared" si="7"/>
        <v>0.9838709677419355</v>
      </c>
      <c r="AB26" s="29">
        <f t="shared" si="7"/>
        <v>0.7692307692307693</v>
      </c>
      <c r="AC26" s="34">
        <f t="shared" si="7"/>
        <v>0.9666666666666667</v>
      </c>
      <c r="AD26" s="37">
        <f t="shared" si="7"/>
        <v>0.8625235404896422</v>
      </c>
    </row>
    <row r="27" spans="1:30" ht="14.25" thickBot="1">
      <c r="A27" s="30">
        <v>19</v>
      </c>
      <c r="B27" s="210" t="s">
        <v>42</v>
      </c>
      <c r="C27" s="211"/>
      <c r="D27" s="212"/>
      <c r="E27" s="31">
        <f>+E23/E22</f>
        <v>30</v>
      </c>
      <c r="F27" s="189" t="e">
        <f aca="true" t="shared" si="8" ref="F27:AD27">+F23/F22</f>
        <v>#DIV/0!</v>
      </c>
      <c r="G27" s="189" t="e">
        <f t="shared" si="8"/>
        <v>#DIV/0!</v>
      </c>
      <c r="H27" s="31">
        <f t="shared" si="8"/>
        <v>46.59477124183007</v>
      </c>
      <c r="I27" s="31">
        <f t="shared" si="8"/>
        <v>14.375</v>
      </c>
      <c r="J27" s="31">
        <f>+J23/J22</f>
        <v>300</v>
      </c>
      <c r="K27" s="31">
        <f t="shared" si="8"/>
        <v>40</v>
      </c>
      <c r="L27" s="31">
        <f t="shared" si="8"/>
        <v>34.67336683417086</v>
      </c>
      <c r="M27" s="31">
        <f t="shared" si="8"/>
        <v>85.375</v>
      </c>
      <c r="N27" s="31">
        <f t="shared" si="8"/>
        <v>66.42857142857143</v>
      </c>
      <c r="O27" s="31">
        <f t="shared" si="8"/>
        <v>106.5</v>
      </c>
      <c r="P27" s="31">
        <f t="shared" si="8"/>
        <v>128.57142857142858</v>
      </c>
      <c r="Q27" s="31">
        <f t="shared" si="8"/>
        <v>1560</v>
      </c>
      <c r="R27" s="31">
        <f>+R23/R22</f>
        <v>20</v>
      </c>
      <c r="S27" s="35">
        <f>+S23/S22</f>
        <v>23</v>
      </c>
      <c r="T27" s="18">
        <f t="shared" si="8"/>
        <v>61.57142857142857</v>
      </c>
      <c r="U27" s="176">
        <f t="shared" si="8"/>
        <v>23.333333333333332</v>
      </c>
      <c r="V27" s="31">
        <f t="shared" si="8"/>
        <v>52.4</v>
      </c>
      <c r="W27" s="31" t="e">
        <f t="shared" si="8"/>
        <v>#DIV/0!</v>
      </c>
      <c r="X27" s="31" t="e">
        <f t="shared" si="8"/>
        <v>#DIV/0!</v>
      </c>
      <c r="Y27" s="31">
        <f t="shared" si="8"/>
        <v>42.36363636363637</v>
      </c>
      <c r="Z27" s="31">
        <f t="shared" si="8"/>
        <v>41.526315789473685</v>
      </c>
      <c r="AA27" s="31">
        <f t="shared" si="8"/>
        <v>42.25</v>
      </c>
      <c r="AB27" s="31">
        <f t="shared" si="8"/>
        <v>106</v>
      </c>
      <c r="AC27" s="35">
        <f t="shared" si="8"/>
        <v>25.6</v>
      </c>
      <c r="AD27" s="38">
        <f t="shared" si="8"/>
        <v>56.087071240105544</v>
      </c>
    </row>
    <row r="28" ht="13.5" thickTop="1"/>
  </sheetData>
  <mergeCells count="21">
    <mergeCell ref="B25:D25"/>
    <mergeCell ref="B26:D26"/>
    <mergeCell ref="B27:D27"/>
    <mergeCell ref="B14:B23"/>
    <mergeCell ref="C22:D22"/>
    <mergeCell ref="C23:D23"/>
    <mergeCell ref="B24:D2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A1:AD1"/>
    <mergeCell ref="A2:AD2"/>
    <mergeCell ref="A3:AD3"/>
    <mergeCell ref="B4:D4"/>
  </mergeCells>
  <printOptions/>
  <pageMargins left="0.75" right="0.75" top="1" bottom="1" header="0" footer="0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7"/>
  <sheetViews>
    <sheetView tabSelected="1" workbookViewId="0" topLeftCell="A1">
      <selection activeCell="C57" sqref="C57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6" width="6.00390625" style="0" bestFit="1" customWidth="1"/>
    <col min="7" max="8" width="7.00390625" style="0" bestFit="1" customWidth="1"/>
    <col min="9" max="9" width="6.28125" style="0" bestFit="1" customWidth="1"/>
    <col min="10" max="11" width="6.00390625" style="0" bestFit="1" customWidth="1"/>
    <col min="12" max="13" width="7.00390625" style="0" bestFit="1" customWidth="1"/>
    <col min="14" max="14" width="8.00390625" style="0" bestFit="1" customWidth="1"/>
    <col min="15" max="15" width="6.00390625" style="0" bestFit="1" customWidth="1"/>
    <col min="16" max="16" width="7.140625" style="0" bestFit="1" customWidth="1"/>
    <col min="17" max="17" width="6.28125" style="0" bestFit="1" customWidth="1"/>
    <col min="18" max="27" width="6.00390625" style="0" bestFit="1" customWidth="1"/>
    <col min="28" max="28" width="5.28125" style="0" bestFit="1" customWidth="1"/>
    <col min="29" max="29" width="6.00390625" style="0" bestFit="1" customWidth="1"/>
    <col min="30" max="30" width="8.00390625" style="0" bestFit="1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3" t="s">
        <v>57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>
      <c r="A4" s="66" t="s">
        <v>0</v>
      </c>
      <c r="B4" s="243" t="s">
        <v>1</v>
      </c>
      <c r="C4" s="224"/>
      <c r="D4" s="231"/>
      <c r="E4" s="67" t="s">
        <v>20</v>
      </c>
      <c r="F4" s="68" t="s">
        <v>48</v>
      </c>
      <c r="G4" s="69" t="s">
        <v>3</v>
      </c>
      <c r="H4" s="70" t="s">
        <v>49</v>
      </c>
      <c r="I4" s="71" t="s">
        <v>2</v>
      </c>
      <c r="J4" s="68" t="s">
        <v>19</v>
      </c>
      <c r="K4" s="72" t="s">
        <v>50</v>
      </c>
      <c r="L4" s="68" t="s">
        <v>15</v>
      </c>
      <c r="M4" s="69" t="s">
        <v>4</v>
      </c>
      <c r="N4" s="68" t="s">
        <v>5</v>
      </c>
      <c r="O4" s="69" t="s">
        <v>7</v>
      </c>
      <c r="P4" s="68" t="s">
        <v>6</v>
      </c>
      <c r="Q4" s="68" t="s">
        <v>8</v>
      </c>
      <c r="R4" s="68" t="s">
        <v>9</v>
      </c>
      <c r="S4" s="68" t="s">
        <v>54</v>
      </c>
      <c r="T4" s="68" t="s">
        <v>10</v>
      </c>
      <c r="U4" s="68" t="s">
        <v>17</v>
      </c>
      <c r="V4" s="69" t="s">
        <v>11</v>
      </c>
      <c r="W4" s="68" t="s">
        <v>12</v>
      </c>
      <c r="X4" s="69" t="s">
        <v>13</v>
      </c>
      <c r="Y4" s="68" t="s">
        <v>14</v>
      </c>
      <c r="Z4" s="68" t="s">
        <v>46</v>
      </c>
      <c r="AA4" s="68" t="s">
        <v>18</v>
      </c>
      <c r="AB4" s="68" t="s">
        <v>16</v>
      </c>
      <c r="AC4" s="69" t="s">
        <v>47</v>
      </c>
      <c r="AD4" s="97" t="s">
        <v>21</v>
      </c>
    </row>
    <row r="5" spans="1:30" ht="13.5">
      <c r="A5" s="45">
        <v>1</v>
      </c>
      <c r="B5" s="221" t="s">
        <v>22</v>
      </c>
      <c r="C5" s="222"/>
      <c r="D5" s="222"/>
      <c r="E5" s="51">
        <f>+ENE!E5+FEB!E5+MAR!E5+ABR!E5+MAY!E5+JUN!E5+'JUL '!E5+AGO!E5+SEPT!E5+'OCT '!E5+NOV!E5+DIC!E5</f>
        <v>161</v>
      </c>
      <c r="F5" s="52">
        <f>+ENE!F5+FEB!F5+MAR!F5+ABR!F5+MAY!F5+JUN!F5+'JUL '!F5+AGO!F5+SEPT!F5+'OCT '!F5+NOV!F5+DIC!F5</f>
        <v>389</v>
      </c>
      <c r="G5" s="52">
        <f>+ENE!G5+FEB!G5+MAR!G5+ABR!G5+MAY!G5+JUN!G5+'JUL '!G5+AGO!G5+SEPT!G5+'OCT '!G5+NOV!G5+DIC!G5</f>
        <v>515</v>
      </c>
      <c r="H5" s="52">
        <f>+ENE!H5+FEB!H5+MAR!H5+ABR!H5+MAY!H5+JUN!H5+'JUL '!H5+AGO!H5+SEPT!H5+'OCT '!H5+NOV!H5+DIC!H5</f>
        <v>2934</v>
      </c>
      <c r="I5" s="52">
        <f>+ENE!I5+FEB!I5+MAR!I5+ABR!I5+MAY!I5+JUN!I5+'JUL '!I5+AGO!I5+SEPT!I5+'OCT '!I5+NOV!I5+DIC!I5</f>
        <v>365</v>
      </c>
      <c r="J5" s="52">
        <f>+ENE!J5+FEB!J5+MAR!J5+ABR!J5+MAY!J5+JUN!J5+'JUL '!J5+AGO!J5+SEPT!J5+'OCT '!J5+NOV!J5+DIC!J5</f>
        <v>143</v>
      </c>
      <c r="K5" s="52">
        <f>+ENE!K5+FEB!K5+MAR!K5+ABR!K5+MAY!K5+JUN!K5+'JUL '!K5+AGO!K5+SEPT!K5+'OCT '!K5+NOV!K5+DIC!K5</f>
        <v>166</v>
      </c>
      <c r="L5" s="52">
        <f>+ENE!L5+FEB!L5+MAR!L5+ABR!L5+MAY!L5+JUN!L5+'JUL '!L5+AGO!L5+SEPT!L5+'OCT '!L5+NOV!L5+DIC!L5</f>
        <v>3055</v>
      </c>
      <c r="M5" s="52">
        <f>+ENE!M5+FEB!M5+MAR!M5+ABR!M5+MAY!M5+JUN!M5+'JUL '!M5+AGO!M5+SEPT!M5+'OCT '!M5+NOV!M5+DIC!M5</f>
        <v>1524</v>
      </c>
      <c r="N5" s="52">
        <f>+ENE!N5+FEB!N5+MAR!N5+ABR!N5+MAY!N5+JUN!N5+'JUL '!N5+AGO!N5+SEPT!N5+'OCT '!N5+NOV!N5+DIC!N5</f>
        <v>10195</v>
      </c>
      <c r="O5" s="52">
        <f>+ENE!O5+FEB!O5+MAR!O5+ABR!O5+MAY!O5+JUN!O5+'JUL '!O5+AGO!O5+SEPT!O5+'OCT '!O5+NOV!O5+DIC!O5</f>
        <v>963</v>
      </c>
      <c r="P5" s="52">
        <f>+ENE!P5+FEB!P5+MAR!P5+ABR!P5+MAY!P5+JUN!P5+'JUL '!P5+AGO!P5+SEPT!P5+'OCT '!P5+NOV!P5+DIC!P5</f>
        <v>2139</v>
      </c>
      <c r="Q5" s="52">
        <f>+ENE!Q5+FEB!Q5+MAR!Q5+ABR!Q5+MAY!Q5+JUN!Q5+'JUL '!Q5+AGO!Q5+SEPT!Q5+'OCT '!Q5+NOV!Q5+DIC!Q5</f>
        <v>51</v>
      </c>
      <c r="R5" s="52">
        <f>+ENE!R5+FEB!R5+MAR!R5+ABR!R5+MAY!R5+JUN!R5+'JUL '!R5+AGO!R5+SEPT!R5+'OCT '!R5+NOV!R5+DIC!R5</f>
        <v>334</v>
      </c>
      <c r="S5" s="52">
        <f>+ENE!S5+FEB!S5+MAR!S5+ABR!S5+MAY!S5+JUN!S5+'JUL '!S5+AGO!S5+SEPT!S5+'OCT '!S5+NOV!S5+DIC!S5</f>
        <v>51</v>
      </c>
      <c r="T5" s="52">
        <f>+ENE!T5+FEB!T5+MAR!T5+ABR!T5+MAY!T5+JUN!T5+'JUL '!T5+AGO!T5+SEPT!T5+'OCT '!T5+NOV!T5+DIC!T5</f>
        <v>334</v>
      </c>
      <c r="U5" s="52">
        <f>+ENE!U5+FEB!U5+MAR!U5+ABR!U5+MAY!U5+JUN!U5+'JUL '!U5+AGO!U5+SEPT!U5+'OCT '!U5+NOV!U5+DIC!U5</f>
        <v>365</v>
      </c>
      <c r="V5" s="52">
        <f>+ENE!V5+FEB!V5+MAR!V5+ABR!V5+MAY!V5+JUN!V5+'JUL '!V5+AGO!V5+SEPT!V5+'OCT '!V5+NOV!V5+DIC!V5</f>
        <v>288</v>
      </c>
      <c r="W5" s="52">
        <f>+ENE!W5+FEB!W5+MAR!W5+ABR!W5+MAY!W5+JUN!W5+'JUL '!W5+AGO!W5+SEPT!W5+'OCT '!W5+NOV!W5+DIC!W5</f>
        <v>329</v>
      </c>
      <c r="X5" s="52">
        <f>+ENE!X5+FEB!X5+MAR!X5+ABR!X5+MAY!X5+JUN!X5+'JUL '!X5+AGO!X5+SEPT!X5+'OCT '!X5+NOV!X5+DIC!X5</f>
        <v>34</v>
      </c>
      <c r="Y5" s="52">
        <f>+ENE!Y5+FEB!Y5+MAR!Y5+ABR!Y5+MAY!Y5+JUN!Y5+'JUL '!Y5+AGO!Y5+SEPT!Y5+'OCT '!Y5+NOV!Y5+DIC!Y5</f>
        <v>709</v>
      </c>
      <c r="Z5" s="52">
        <f>+ENE!Z5+FEB!Z5+MAR!Z5+ABR!Z5+MAY!Z5+JUN!Z5+'JUL '!Z5+AGO!Z5+SEPT!Z5+'OCT '!Z5+NOV!Z5+DIC!Z5</f>
        <v>1169</v>
      </c>
      <c r="AA5" s="52">
        <f>+ENE!AA5+FEB!AA5+MAR!AA5+ABR!AA5+MAY!AA5+JUN!AA5+'JUL '!AA5+AGO!AA5+SEPT!AA5+'OCT '!AA5+NOV!AA5+DIC!AA5</f>
        <v>531</v>
      </c>
      <c r="AB5" s="52">
        <f>+ENE!AB5+FEB!AB5+MAR!AB5+ABR!AB5+MAY!AB5+JUN!AB5+'JUL '!AB5+AGO!AB5+SEPT!AB5+'OCT '!AB5+NOV!AB5+DIC!AB5</f>
        <v>157</v>
      </c>
      <c r="AC5" s="53">
        <f>+ENE!AC5+FEB!AC5+MAR!AC5+ABR!AC5+MAY!AC5+JUN!AC5+'JUL '!AC5+AGO!AC5+SEPT!AC5+'OCT '!AC5+NOV!AC5+DIC!AC5</f>
        <v>363</v>
      </c>
      <c r="AD5" s="98">
        <f>SUM(E5:AC5)</f>
        <v>27264</v>
      </c>
    </row>
    <row r="6" spans="1:30" ht="14.25" thickBot="1">
      <c r="A6" s="48">
        <v>2</v>
      </c>
      <c r="B6" s="215" t="s">
        <v>23</v>
      </c>
      <c r="C6" s="216"/>
      <c r="D6" s="216"/>
      <c r="E6" s="54">
        <f>+ENE!E6+FEB!E6+MAR!E6+ABR!E6+MAY!E6+JUN!E6+'JUL '!E6+AGO!E6+SEPT!E6+'OCT '!E6+NOV!E6+DIC!E6</f>
        <v>0</v>
      </c>
      <c r="F6" s="50">
        <f>+ENE!F6+FEB!F6+MAR!F6+ABR!F6+MAY!F6+JUN!F6+'JUL '!F6+AGO!F6+SEPT!F6+'OCT '!F6+NOV!F6+DIC!F6</f>
        <v>2</v>
      </c>
      <c r="G6" s="50">
        <f>+ENE!G6+FEB!G6+MAR!G6+ABR!G6+MAY!G6+JUN!G6+'JUL '!G6+AGO!G6+SEPT!G6+'OCT '!G6+NOV!G6+DIC!G6</f>
        <v>0</v>
      </c>
      <c r="H6" s="50">
        <f>+ENE!H6+FEB!H6+MAR!H6+ABR!H6+MAY!H6+JUN!H6+'JUL '!H6+AGO!H6+SEPT!H6+'OCT '!H6+NOV!H6+DIC!H6</f>
        <v>0</v>
      </c>
      <c r="I6" s="50">
        <f>+ENE!I6+FEB!I6+MAR!I6+ABR!I6+MAY!I6+JUN!I6+'JUL '!I6+AGO!I6+SEPT!I6+'OCT '!I6+NOV!I6+DIC!I6</f>
        <v>0</v>
      </c>
      <c r="J6" s="50">
        <f>+ENE!J6+FEB!J6+MAR!J6+ABR!J6+MAY!J6+JUN!J6+'JUL '!J6+AGO!J6+SEPT!J6+'OCT '!J6+NOV!J6+DIC!J6</f>
        <v>0</v>
      </c>
      <c r="K6" s="50">
        <f>+ENE!K6+FEB!K6+MAR!K6+ABR!K6+MAY!K6+JUN!K6+'JUL '!K6+AGO!K6+SEPT!K6+'OCT '!K6+NOV!K6+DIC!K6</f>
        <v>2</v>
      </c>
      <c r="L6" s="50">
        <f>+ENE!L6+FEB!L6+MAR!L6+ABR!L6+MAY!L6+JUN!L6+'JUL '!L6+AGO!L6+SEPT!L6+'OCT '!L6+NOV!L6+DIC!L6</f>
        <v>16</v>
      </c>
      <c r="M6" s="50">
        <f>+ENE!M6+FEB!M6+MAR!M6+ABR!M6+MAY!M6+JUN!M6+'JUL '!M6+AGO!M6+SEPT!M6+'OCT '!M6+NOV!M6+DIC!M6</f>
        <v>0</v>
      </c>
      <c r="N6" s="50">
        <f>+ENE!N6+FEB!N6+MAR!N6+ABR!N6+MAY!N6+JUN!N6+'JUL '!N6+AGO!N6+SEPT!N6+'OCT '!N6+NOV!N6+DIC!N6</f>
        <v>3</v>
      </c>
      <c r="O6" s="50">
        <f>+ENE!O6+FEB!O6+MAR!O6+ABR!O6+MAY!O6+JUN!O6+'JUL '!O6+AGO!O6+SEPT!O6+'OCT '!O6+NOV!O6+DIC!O6</f>
        <v>0</v>
      </c>
      <c r="P6" s="50">
        <f>+ENE!P6+FEB!P6+MAR!P6+ABR!P6+MAY!P6+JUN!P6+'JUL '!P6+AGO!P6+SEPT!P6+'OCT '!P6+NOV!P6+DIC!P6</f>
        <v>0</v>
      </c>
      <c r="Q6" s="50">
        <f>+ENE!Q6+FEB!Q6+MAR!Q6+ABR!Q6+MAY!Q6+JUN!Q6+'JUL '!Q6+AGO!Q6+SEPT!Q6+'OCT '!Q6+NOV!Q6+DIC!Q6</f>
        <v>6</v>
      </c>
      <c r="R6" s="50">
        <f>+ENE!R6+FEB!R6+MAR!R6+ABR!R6+MAY!R6+JUN!R6+'JUL '!R6+AGO!R6+SEPT!R6+'OCT '!R6+NOV!R6+DIC!R6</f>
        <v>0</v>
      </c>
      <c r="S6" s="50">
        <f>+ENE!S6+FEB!S6+MAR!S6+ABR!S6+MAY!S6+JUN!S6+'JUL '!S6+AGO!S6+SEPT!S6+'OCT '!S6+NOV!S6+DIC!S6</f>
        <v>0</v>
      </c>
      <c r="T6" s="50">
        <f>+ENE!T6+FEB!T6+MAR!T6+ABR!T6+MAY!T6+JUN!T6+'JUL '!T6+AGO!T6+SEPT!T6+'OCT '!T6+NOV!T6+DIC!T6</f>
        <v>0</v>
      </c>
      <c r="U6" s="50">
        <f>+ENE!U6+FEB!U6+MAR!U6+ABR!U6+MAY!U6+JUN!U6+'JUL '!U6+AGO!U6+SEPT!U6+'OCT '!U6+NOV!U6+DIC!U6</f>
        <v>2</v>
      </c>
      <c r="V6" s="50">
        <f>+ENE!V6+FEB!V6+MAR!V6+ABR!V6+MAY!V6+JUN!V6+'JUL '!V6+AGO!V6+SEPT!V6+'OCT '!V6+NOV!V6+DIC!V6</f>
        <v>11</v>
      </c>
      <c r="W6" s="50">
        <f>+ENE!W6+FEB!W6+MAR!W6+ABR!W6+MAY!W6+JUN!W6+'JUL '!W6+AGO!W6+SEPT!W6+'OCT '!W6+NOV!W6+DIC!W6</f>
        <v>0</v>
      </c>
      <c r="X6" s="50">
        <f>+ENE!X6+FEB!X6+MAR!X6+ABR!X6+MAY!X6+JUN!X6+'JUL '!X6+AGO!X6+SEPT!X6+'OCT '!X6+NOV!X6+DIC!X6</f>
        <v>1</v>
      </c>
      <c r="Y6" s="50">
        <f>+ENE!Y6+FEB!Y6+MAR!Y6+ABR!Y6+MAY!Y6+JUN!Y6+'JUL '!Y6+AGO!Y6+SEPT!Y6+'OCT '!Y6+NOV!Y6+DIC!Y6</f>
        <v>0</v>
      </c>
      <c r="Z6" s="50">
        <f>+ENE!Z6+FEB!Z6+MAR!Z6+ABR!Z6+MAY!Z6+JUN!Z6+'JUL '!Z6+AGO!Z6+SEPT!Z6+'OCT '!Z6+NOV!Z6+DIC!Z6</f>
        <v>6</v>
      </c>
      <c r="AA6" s="50">
        <f>+ENE!AA6+FEB!AA6+MAR!AA6+ABR!AA6+MAY!AA6+JUN!AA6+'JUL '!AA6+AGO!AA6+SEPT!AA6+'OCT '!AA6+NOV!AA6+DIC!AA6</f>
        <v>0</v>
      </c>
      <c r="AB6" s="50">
        <f>+ENE!AB6+FEB!AB6+MAR!AB6+ABR!AB6+MAY!AB6+JUN!AB6+'JUL '!AB6+AGO!AB6+SEPT!AB6+'OCT '!AB6+NOV!AB6+DIC!AB6</f>
        <v>0</v>
      </c>
      <c r="AC6" s="55">
        <f>+ENE!AC6+FEB!AC6+MAR!AC6+ABR!AC6+MAY!AC6+JUN!AC6+'JUL '!AC6+AGO!AC6+SEPT!AC6+'OCT '!AC6+NOV!AC6+DIC!AC6</f>
        <v>0</v>
      </c>
      <c r="AD6" s="99">
        <f>SUM(E6:AC6)</f>
        <v>49</v>
      </c>
    </row>
    <row r="7" spans="1:30" ht="14.25" thickBot="1">
      <c r="A7" s="147">
        <v>15</v>
      </c>
      <c r="B7" s="250" t="s">
        <v>38</v>
      </c>
      <c r="C7" s="251"/>
      <c r="D7" s="252"/>
      <c r="E7" s="63">
        <f>SUM(E5:E6)</f>
        <v>161</v>
      </c>
      <c r="F7" s="64">
        <f aca="true" t="shared" si="0" ref="F7:AD7">SUM(F5:F6)</f>
        <v>391</v>
      </c>
      <c r="G7" s="64">
        <f t="shared" si="0"/>
        <v>515</v>
      </c>
      <c r="H7" s="64">
        <f t="shared" si="0"/>
        <v>2934</v>
      </c>
      <c r="I7" s="64">
        <f t="shared" si="0"/>
        <v>365</v>
      </c>
      <c r="J7" s="64">
        <f t="shared" si="0"/>
        <v>143</v>
      </c>
      <c r="K7" s="64">
        <f t="shared" si="0"/>
        <v>168</v>
      </c>
      <c r="L7" s="64">
        <f t="shared" si="0"/>
        <v>3071</v>
      </c>
      <c r="M7" s="64">
        <f t="shared" si="0"/>
        <v>1524</v>
      </c>
      <c r="N7" s="64">
        <f t="shared" si="0"/>
        <v>10198</v>
      </c>
      <c r="O7" s="64">
        <f t="shared" si="0"/>
        <v>963</v>
      </c>
      <c r="P7" s="64">
        <f t="shared" si="0"/>
        <v>2139</v>
      </c>
      <c r="Q7" s="64">
        <f t="shared" si="0"/>
        <v>57</v>
      </c>
      <c r="R7" s="64">
        <f t="shared" si="0"/>
        <v>334</v>
      </c>
      <c r="S7" s="64">
        <f t="shared" si="0"/>
        <v>51</v>
      </c>
      <c r="T7" s="64">
        <f t="shared" si="0"/>
        <v>334</v>
      </c>
      <c r="U7" s="64">
        <f t="shared" si="0"/>
        <v>367</v>
      </c>
      <c r="V7" s="64">
        <f t="shared" si="0"/>
        <v>299</v>
      </c>
      <c r="W7" s="64">
        <f t="shared" si="0"/>
        <v>329</v>
      </c>
      <c r="X7" s="64">
        <f t="shared" si="0"/>
        <v>35</v>
      </c>
      <c r="Y7" s="64">
        <f t="shared" si="0"/>
        <v>709</v>
      </c>
      <c r="Z7" s="64">
        <f t="shared" si="0"/>
        <v>1175</v>
      </c>
      <c r="AA7" s="64">
        <f t="shared" si="0"/>
        <v>531</v>
      </c>
      <c r="AB7" s="64">
        <f t="shared" si="0"/>
        <v>157</v>
      </c>
      <c r="AC7" s="65">
        <f t="shared" si="0"/>
        <v>363</v>
      </c>
      <c r="AD7" s="100">
        <f t="shared" si="0"/>
        <v>27313</v>
      </c>
    </row>
    <row r="8" spans="1:30" ht="13.5">
      <c r="A8" s="143">
        <v>3</v>
      </c>
      <c r="B8" s="253" t="s">
        <v>24</v>
      </c>
      <c r="C8" s="222" t="s">
        <v>25</v>
      </c>
      <c r="D8" s="222"/>
      <c r="E8" s="56">
        <f>+ENE!E8+FEB!E8+MAR!E8+ABR!E8+MAY!E8+JUN!E8+'JUL '!E8+AGO!E8+SEPT!E8+'OCT '!E8+NOV!E8+DIC!E8</f>
        <v>0</v>
      </c>
      <c r="F8" s="9">
        <f>+ENE!F8+FEB!F8+MAR!F8+ABR!F8+MAY!F8+JUN!F8+'JUL '!F8+AGO!F8+SEPT!F8+'OCT '!F8+NOV!F8+DIC!F8</f>
        <v>0</v>
      </c>
      <c r="G8" s="9">
        <f>+ENE!G8+FEB!G8+MAR!G8+ABR!G8+MAY!G8+JUN!G8+'JUL '!G8+AGO!G8+SEPT!G8+'OCT '!G8+NOV!G8+DIC!G8</f>
        <v>2</v>
      </c>
      <c r="H8" s="9">
        <f>+ENE!H8+FEB!H8+MAR!H8+ABR!H8+MAY!H8+JUN!H8+'JUL '!H8+AGO!H8+SEPT!H8+'OCT '!H8+NOV!H8+DIC!H8</f>
        <v>2</v>
      </c>
      <c r="I8" s="9">
        <f>+ENE!I8+FEB!I8+MAR!I8+ABR!I8+MAY!I8+JUN!I8+'JUL '!I8+AGO!I8+SEPT!I8+'OCT '!I8+NOV!I8+DIC!I8</f>
        <v>0</v>
      </c>
      <c r="J8" s="9">
        <f>+ENE!J8+FEB!J8+MAR!J8+ABR!J8+MAY!J8+JUN!J8+'JUL '!J8+AGO!J8+SEPT!J8+'OCT '!J8+NOV!J8+DIC!J8</f>
        <v>0</v>
      </c>
      <c r="K8" s="9">
        <f>+ENE!K8+FEB!K8+MAR!K8+ABR!K8+MAY!K8+JUN!K8+'JUL '!K8+AGO!K8+SEPT!K8+'OCT '!K8+NOV!K8+DIC!K8</f>
        <v>0</v>
      </c>
      <c r="L8" s="9">
        <f>+ENE!L8+FEB!L8+MAR!L8+ABR!L8+MAY!L8+JUN!L8+'JUL '!L8+AGO!L8+SEPT!L8+'OCT '!L8+NOV!L8+DIC!L8</f>
        <v>0</v>
      </c>
      <c r="M8" s="9">
        <f>+ENE!M8+FEB!M8+MAR!M8+ABR!M8+MAY!M8+JUN!M8+'JUL '!M8+AGO!M8+SEPT!M8+'OCT '!M8+NOV!M8+DIC!M8</f>
        <v>0</v>
      </c>
      <c r="N8" s="9">
        <f>+ENE!N8+FEB!N8+MAR!N8+ABR!N8+MAY!N8+JUN!N8+'JUL '!N8+AGO!N8+SEPT!N8+'OCT '!N8+NOV!N8+DIC!N8</f>
        <v>2</v>
      </c>
      <c r="O8" s="9">
        <f>+ENE!O8+FEB!O8+MAR!O8+ABR!O8+MAY!O8+JUN!O8+'JUL '!O8+AGO!O8+SEPT!O8+'OCT '!O8+NOV!O8+DIC!O8</f>
        <v>0</v>
      </c>
      <c r="P8" s="9">
        <f>+ENE!P8+FEB!P8+MAR!P8+ABR!P8+MAY!P8+JUN!P8+'JUL '!P8+AGO!P8+SEPT!P8+'OCT '!P8+NOV!P8+DIC!P8</f>
        <v>0</v>
      </c>
      <c r="Q8" s="9">
        <f>+ENE!Q8+FEB!Q8+MAR!Q8+ABR!Q8+MAY!Q8+JUN!Q8+'JUL '!Q8+AGO!Q8+SEPT!Q8+'OCT '!Q8+NOV!Q8+DIC!Q8</f>
        <v>0</v>
      </c>
      <c r="R8" s="9">
        <f>+ENE!R8+FEB!R8+MAR!R8+ABR!R8+MAY!R8+JUN!R8+'JUL '!R8+AGO!R8+SEPT!R8+'OCT '!R8+NOV!R8+DIC!R8</f>
        <v>0</v>
      </c>
      <c r="S8" s="9">
        <f>+ENE!S8+FEB!S8+MAR!S8+ABR!S8+MAY!S8+JUN!S8+'JUL '!S8+AGO!S8+SEPT!S8+'OCT '!S8+NOV!S8+DIC!S8</f>
        <v>0</v>
      </c>
      <c r="T8" s="9">
        <f>+ENE!T8+FEB!T8+MAR!T8+ABR!T8+MAY!T8+JUN!T8+'JUL '!T8+AGO!T8+SEPT!T8+'OCT '!T8+NOV!T8+DIC!T8</f>
        <v>1</v>
      </c>
      <c r="U8" s="9">
        <f>+ENE!U8+FEB!U8+MAR!U8+ABR!U8+MAY!U8+JUN!U8+'JUL '!U8+AGO!U8+SEPT!U8+'OCT '!U8+NOV!U8+DIC!U8</f>
        <v>0</v>
      </c>
      <c r="V8" s="9">
        <f>+ENE!V8+FEB!V8+MAR!V8+ABR!V8+MAY!V8+JUN!V8+'JUL '!V8+AGO!V8+SEPT!V8+'OCT '!V8+NOV!V8+DIC!V8</f>
        <v>0</v>
      </c>
      <c r="W8" s="9">
        <f>+ENE!W8+FEB!W8+MAR!W8+ABR!W8+MAY!W8+JUN!W8+'JUL '!W8+AGO!W8+SEPT!W8+'OCT '!W8+NOV!W8+DIC!W8</f>
        <v>0</v>
      </c>
      <c r="X8" s="9">
        <f>+ENE!X8+FEB!X8+MAR!X8+ABR!X8+MAY!X8+JUN!X8+'JUL '!X8+AGO!X8+SEPT!X8+'OCT '!X8+NOV!X8+DIC!X8</f>
        <v>2</v>
      </c>
      <c r="Y8" s="9">
        <f>+ENE!Y8+FEB!Y8+MAR!Y8+ABR!Y8+MAY!Y8+JUN!Y8+'JUL '!Y8+AGO!Y8+SEPT!Y8+'OCT '!Y8+NOV!Y8+DIC!Y8</f>
        <v>0</v>
      </c>
      <c r="Z8" s="9">
        <f>+ENE!Z8+FEB!Z8+MAR!Z8+ABR!Z8+MAY!Z8+JUN!Z8+'JUL '!Z8+AGO!Z8+SEPT!Z8+'OCT '!Z8+NOV!Z8+DIC!Z8</f>
        <v>2</v>
      </c>
      <c r="AA8" s="9">
        <f>+ENE!AA8+FEB!AA8+MAR!AA8+ABR!AA8+MAY!AA8+JUN!AA8+'JUL '!AA8+AGO!AA8+SEPT!AA8+'OCT '!AA8+NOV!AA8+DIC!AA8</f>
        <v>0</v>
      </c>
      <c r="AB8" s="9">
        <f>+ENE!AB8+FEB!AB8+MAR!AB8+ABR!AB8+MAY!AB8+JUN!AB8+'JUL '!AB8+AGO!AB8+SEPT!AB8+'OCT '!AB8+NOV!AB8+DIC!AB8</f>
        <v>0</v>
      </c>
      <c r="AC8" s="57">
        <f>+ENE!AC8+FEB!AC8+MAR!AC8+ABR!AC8+MAY!AC8+JUN!AC8+'JUL '!AC8+AGO!AC8+SEPT!AC8+'OCT '!AC8+NOV!AC8+DIC!AC8</f>
        <v>0</v>
      </c>
      <c r="AD8" s="98">
        <f>SUM(E8:AC8)</f>
        <v>11</v>
      </c>
    </row>
    <row r="9" spans="1:30" ht="13.5">
      <c r="A9" s="145">
        <v>4</v>
      </c>
      <c r="B9" s="254"/>
      <c r="C9" s="200" t="s">
        <v>26</v>
      </c>
      <c r="D9" s="200"/>
      <c r="E9" s="58">
        <f>+ENE!E9+FEB!E9+MAR!E9+ABR!E9+MAY!E9+JUN!E9+'JUL '!E9+AGO!E9+SEPT!E9+'OCT '!E9+NOV!E9+DIC!E9</f>
        <v>0</v>
      </c>
      <c r="F9" s="18">
        <f>+ENE!F9+FEB!F9+MAR!F9+ABR!F9+MAY!F9+JUN!F9+'JUL '!F9+AGO!F9+SEPT!F9+'OCT '!F9+NOV!F9+DIC!F9</f>
        <v>0</v>
      </c>
      <c r="G9" s="18">
        <f>+ENE!G9+FEB!G9+MAR!G9+ABR!G9+MAY!G9+JUN!G9+'JUL '!G9+AGO!G9+SEPT!G9+'OCT '!G9+NOV!G9+DIC!G9</f>
        <v>0</v>
      </c>
      <c r="H9" s="18">
        <f>+ENE!H9+FEB!H9+MAR!H9+ABR!H9+MAY!H9+JUN!H9+'JUL '!H9+AGO!H9+SEPT!H9+'OCT '!H9+NOV!H9+DIC!H9</f>
        <v>3</v>
      </c>
      <c r="I9" s="18">
        <f>+ENE!I9+FEB!I9+MAR!I9+ABR!I9+MAY!I9+JUN!I9+'JUL '!I9+AGO!I9+SEPT!I9+'OCT '!I9+NOV!I9+DIC!I9</f>
        <v>8</v>
      </c>
      <c r="J9" s="18">
        <f>+ENE!J9+FEB!J9+MAR!J9+ABR!J9+MAY!J9+JUN!J9+'JUL '!J9+AGO!J9+SEPT!J9+'OCT '!J9+NOV!J9+DIC!J9</f>
        <v>0</v>
      </c>
      <c r="K9" s="18">
        <f>+ENE!K9+FEB!K9+MAR!K9+ABR!K9+MAY!K9+JUN!K9+'JUL '!K9+AGO!K9+SEPT!K9+'OCT '!K9+NOV!K9+DIC!K9</f>
        <v>0</v>
      </c>
      <c r="L9" s="18">
        <f>+ENE!L9+FEB!L9+MAR!L9+ABR!L9+MAY!L9+JUN!L9+'JUL '!L9+AGO!L9+SEPT!L9+'OCT '!L9+NOV!L9+DIC!L9</f>
        <v>4</v>
      </c>
      <c r="M9" s="18">
        <f>+ENE!M9+FEB!M9+MAR!M9+ABR!M9+MAY!M9+JUN!M9+'JUL '!M9+AGO!M9+SEPT!M9+'OCT '!M9+NOV!M9+DIC!M9</f>
        <v>0</v>
      </c>
      <c r="N9" s="18">
        <f>+ENE!N9+FEB!N9+MAR!N9+ABR!N9+MAY!N9+JUN!N9+'JUL '!N9+AGO!N9+SEPT!N9+'OCT '!N9+NOV!N9+DIC!N9</f>
        <v>24</v>
      </c>
      <c r="O9" s="18">
        <f>+ENE!O9+FEB!O9+MAR!O9+ABR!O9+MAY!O9+JUN!O9+'JUL '!O9+AGO!O9+SEPT!O9+'OCT '!O9+NOV!O9+DIC!O9</f>
        <v>7</v>
      </c>
      <c r="P9" s="18">
        <f>+ENE!P9+FEB!P9+MAR!P9+ABR!P9+MAY!P9+JUN!P9+'JUL '!P9+AGO!P9+SEPT!P9+'OCT '!P9+NOV!P9+DIC!P9</f>
        <v>0</v>
      </c>
      <c r="Q9" s="18">
        <f>+ENE!Q9+FEB!Q9+MAR!Q9+ABR!Q9+MAY!Q9+JUN!Q9+'JUL '!Q9+AGO!Q9+SEPT!Q9+'OCT '!Q9+NOV!Q9+DIC!Q9</f>
        <v>0</v>
      </c>
      <c r="R9" s="18">
        <f>+ENE!R9+FEB!R9+MAR!R9+ABR!R9+MAY!R9+JUN!R9+'JUL '!R9+AGO!R9+SEPT!R9+'OCT '!R9+NOV!R9+DIC!R9</f>
        <v>8</v>
      </c>
      <c r="S9" s="18">
        <f>+ENE!S9+FEB!S9+MAR!S9+ABR!S9+MAY!S9+JUN!S9+'JUL '!S9+AGO!S9+SEPT!S9+'OCT '!S9+NOV!S9+DIC!S9</f>
        <v>0</v>
      </c>
      <c r="T9" s="18">
        <f>+ENE!T9+FEB!T9+MAR!T9+ABR!T9+MAY!T9+JUN!T9+'JUL '!T9+AGO!T9+SEPT!T9+'OCT '!T9+NOV!T9+DIC!T9</f>
        <v>0</v>
      </c>
      <c r="U9" s="18">
        <f>+ENE!U9+FEB!U9+MAR!U9+ABR!U9+MAY!U9+JUN!U9+'JUL '!U9+AGO!U9+SEPT!U9+'OCT '!U9+NOV!U9+DIC!U9</f>
        <v>0</v>
      </c>
      <c r="V9" s="18">
        <f>+ENE!V9+FEB!V9+MAR!V9+ABR!V9+MAY!V9+JUN!V9+'JUL '!V9+AGO!V9+SEPT!V9+'OCT '!V9+NOV!V9+DIC!V9</f>
        <v>0</v>
      </c>
      <c r="W9" s="18">
        <f>+ENE!W9+FEB!W9+MAR!W9+ABR!W9+MAY!W9+JUN!W9+'JUL '!W9+AGO!W9+SEPT!W9+'OCT '!W9+NOV!W9+DIC!W9</f>
        <v>0</v>
      </c>
      <c r="X9" s="18">
        <f>+ENE!X9+FEB!X9+MAR!X9+ABR!X9+MAY!X9+JUN!X9+'JUL '!X9+AGO!X9+SEPT!X9+'OCT '!X9+NOV!X9+DIC!X9</f>
        <v>0</v>
      </c>
      <c r="Y9" s="18">
        <f>+ENE!Y9+FEB!Y9+MAR!Y9+ABR!Y9+MAY!Y9+JUN!Y9+'JUL '!Y9+AGO!Y9+SEPT!Y9+'OCT '!Y9+NOV!Y9+DIC!Y9</f>
        <v>0</v>
      </c>
      <c r="Z9" s="18">
        <f>+ENE!Z9+FEB!Z9+MAR!Z9+ABR!Z9+MAY!Z9+JUN!Z9+'JUL '!Z9+AGO!Z9+SEPT!Z9+'OCT '!Z9+NOV!Z9+DIC!Z9</f>
        <v>0</v>
      </c>
      <c r="AA9" s="18">
        <f>+ENE!AA9+FEB!AA9+MAR!AA9+ABR!AA9+MAY!AA9+JUN!AA9+'JUL '!AA9+AGO!AA9+SEPT!AA9+'OCT '!AA9+NOV!AA9+DIC!AA9</f>
        <v>0</v>
      </c>
      <c r="AB9" s="18">
        <f>+ENE!AB9+FEB!AB9+MAR!AB9+ABR!AB9+MAY!AB9+JUN!AB9+'JUL '!AB9+AGO!AB9+SEPT!AB9+'OCT '!AB9+NOV!AB9+DIC!AB9</f>
        <v>0</v>
      </c>
      <c r="AC9" s="59">
        <f>+ENE!AC9+FEB!AC9+MAR!AC9+ABR!AC9+MAY!AC9+JUN!AC9+'JUL '!AC9+AGO!AC9+SEPT!AC9+'OCT '!AC9+NOV!AC9+DIC!AC9</f>
        <v>0</v>
      </c>
      <c r="AD9" s="98">
        <f>SUM(E9:AC9)</f>
        <v>54</v>
      </c>
    </row>
    <row r="10" spans="1:30" ht="13.5">
      <c r="A10" s="145">
        <v>5</v>
      </c>
      <c r="B10" s="254"/>
      <c r="C10" s="200" t="s">
        <v>27</v>
      </c>
      <c r="D10" s="200"/>
      <c r="E10" s="58">
        <f>+ENE!E10+FEB!E10+MAR!E10+ABR!E10+MAY!E10+JUN!E10+'JUL '!E10+AGO!E10+SEPT!E10+'OCT '!E10+NOV!E10+DIC!E10</f>
        <v>0</v>
      </c>
      <c r="F10" s="18">
        <f>+ENE!F10+FEB!F10+MAR!F10+ABR!F10+MAY!F10+JUN!F10+'JUL '!F10+AGO!F10+SEPT!F10+'OCT '!F10+NOV!F10+DIC!F10</f>
        <v>1</v>
      </c>
      <c r="G10" s="18">
        <f>+ENE!G10+FEB!G10+MAR!G10+ABR!G10+MAY!G10+JUN!G10+'JUL '!G10+AGO!G10+SEPT!G10+'OCT '!G10+NOV!G10+DIC!G10</f>
        <v>0</v>
      </c>
      <c r="H10" s="18">
        <f>+ENE!H10+FEB!H10+MAR!H10+ABR!H10+MAY!H10+JUN!H10+'JUL '!H10+AGO!H10+SEPT!H10+'OCT '!H10+NOV!H10+DIC!H10</f>
        <v>9</v>
      </c>
      <c r="I10" s="18">
        <f>+ENE!I10+FEB!I10+MAR!I10+ABR!I10+MAY!I10+JUN!I10+'JUL '!I10+AGO!I10+SEPT!I10+'OCT '!I10+NOV!I10+DIC!I10</f>
        <v>0</v>
      </c>
      <c r="J10" s="18">
        <f>+ENE!J10+FEB!J10+MAR!J10+ABR!J10+MAY!J10+JUN!J10+'JUL '!J10+AGO!J10+SEPT!J10+'OCT '!J10+NOV!J10+DIC!J10</f>
        <v>0</v>
      </c>
      <c r="K10" s="18">
        <f>+ENE!K10+FEB!K10+MAR!K10+ABR!K10+MAY!K10+JUN!K10+'JUL '!K10+AGO!K10+SEPT!K10+'OCT '!K10+NOV!K10+DIC!K10</f>
        <v>0</v>
      </c>
      <c r="L10" s="18">
        <f>+ENE!L10+FEB!L10+MAR!L10+ABR!L10+MAY!L10+JUN!L10+'JUL '!L10+AGO!L10+SEPT!L10+'OCT '!L10+NOV!L10+DIC!L10</f>
        <v>7</v>
      </c>
      <c r="M10" s="18">
        <f>+ENE!M10+FEB!M10+MAR!M10+ABR!M10+MAY!M10+JUN!M10+'JUL '!M10+AGO!M10+SEPT!M10+'OCT '!M10+NOV!M10+DIC!M10</f>
        <v>2</v>
      </c>
      <c r="N10" s="18">
        <f>+ENE!N10+FEB!N10+MAR!N10+ABR!N10+MAY!N10+JUN!N10+'JUL '!N10+AGO!N10+SEPT!N10+'OCT '!N10+NOV!N10+DIC!N10</f>
        <v>4</v>
      </c>
      <c r="O10" s="18">
        <f>+ENE!O10+FEB!O10+MAR!O10+ABR!O10+MAY!O10+JUN!O10+'JUL '!O10+AGO!O10+SEPT!O10+'OCT '!O10+NOV!O10+DIC!O10</f>
        <v>0</v>
      </c>
      <c r="P10" s="18">
        <f>+ENE!P10+FEB!P10+MAR!P10+ABR!P10+MAY!P10+JUN!P10+'JUL '!P10+AGO!P10+SEPT!P10+'OCT '!P10+NOV!P10+DIC!P10</f>
        <v>7</v>
      </c>
      <c r="Q10" s="18">
        <f>+ENE!Q10+FEB!Q10+MAR!Q10+ABR!Q10+MAY!Q10+JUN!Q10+'JUL '!Q10+AGO!Q10+SEPT!Q10+'OCT '!Q10+NOV!Q10+DIC!Q10</f>
        <v>0</v>
      </c>
      <c r="R10" s="18">
        <f>+ENE!R10+FEB!R10+MAR!R10+ABR!R10+MAY!R10+JUN!R10+'JUL '!R10+AGO!R10+SEPT!R10+'OCT '!R10+NOV!R10+DIC!R10</f>
        <v>0</v>
      </c>
      <c r="S10" s="18">
        <f>+ENE!S10+FEB!S10+MAR!S10+ABR!S10+MAY!S10+JUN!S10+'JUL '!S10+AGO!S10+SEPT!S10+'OCT '!S10+NOV!S10+DIC!S10</f>
        <v>4</v>
      </c>
      <c r="T10" s="18">
        <f>+ENE!T10+FEB!T10+MAR!T10+ABR!T10+MAY!T10+JUN!T10+'JUL '!T10+AGO!T10+SEPT!T10+'OCT '!T10+NOV!T10+DIC!T10</f>
        <v>0</v>
      </c>
      <c r="U10" s="18">
        <f>+ENE!U10+FEB!U10+MAR!U10+ABR!U10+MAY!U10+JUN!U10+'JUL '!U10+AGO!U10+SEPT!U10+'OCT '!U10+NOV!U10+DIC!U10</f>
        <v>0</v>
      </c>
      <c r="V10" s="18">
        <f>+ENE!V10+FEB!V10+MAR!V10+ABR!V10+MAY!V10+JUN!V10+'JUL '!V10+AGO!V10+SEPT!V10+'OCT '!V10+NOV!V10+DIC!V10</f>
        <v>1</v>
      </c>
      <c r="W10" s="18">
        <f>+ENE!W10+FEB!W10+MAR!W10+ABR!W10+MAY!W10+JUN!W10+'JUL '!W10+AGO!W10+SEPT!W10+'OCT '!W10+NOV!W10+DIC!W10</f>
        <v>1</v>
      </c>
      <c r="X10" s="18">
        <f>+ENE!X10+FEB!X10+MAR!X10+ABR!X10+MAY!X10+JUN!X10+'JUL '!X10+AGO!X10+SEPT!X10+'OCT '!X10+NOV!X10+DIC!X10</f>
        <v>0</v>
      </c>
      <c r="Y10" s="18">
        <f>+ENE!Y10+FEB!Y10+MAR!Y10+ABR!Y10+MAY!Y10+JUN!Y10+'JUL '!Y10+AGO!Y10+SEPT!Y10+'OCT '!Y10+NOV!Y10+DIC!Y10</f>
        <v>0</v>
      </c>
      <c r="Z10" s="18">
        <f>+ENE!Z10+FEB!Z10+MAR!Z10+ABR!Z10+MAY!Z10+JUN!Z10+'JUL '!Z10+AGO!Z10+SEPT!Z10+'OCT '!Z10+NOV!Z10+DIC!Z10</f>
        <v>3</v>
      </c>
      <c r="AA10" s="18">
        <f>+ENE!AA10+FEB!AA10+MAR!AA10+ABR!AA10+MAY!AA10+JUN!AA10+'JUL '!AA10+AGO!AA10+SEPT!AA10+'OCT '!AA10+NOV!AA10+DIC!AA10</f>
        <v>2</v>
      </c>
      <c r="AB10" s="18">
        <f>+ENE!AB10+FEB!AB10+MAR!AB10+ABR!AB10+MAY!AB10+JUN!AB10+'JUL '!AB10+AGO!AB10+SEPT!AB10+'OCT '!AB10+NOV!AB10+DIC!AB10</f>
        <v>0</v>
      </c>
      <c r="AC10" s="59">
        <f>+ENE!AC10+FEB!AC10+MAR!AC10+ABR!AC10+MAY!AC10+JUN!AC10+'JUL '!AC10+AGO!AC10+SEPT!AC10+'OCT '!AC10+NOV!AC10+DIC!AC10</f>
        <v>0</v>
      </c>
      <c r="AD10" s="98">
        <f>SUM(E10:AC10)</f>
        <v>41</v>
      </c>
    </row>
    <row r="11" spans="1:30" ht="14.25" thickBot="1">
      <c r="A11" s="152">
        <v>6</v>
      </c>
      <c r="B11" s="254"/>
      <c r="C11" s="216" t="s">
        <v>28</v>
      </c>
      <c r="D11" s="216"/>
      <c r="E11" s="73">
        <f>+ENE!E11+FEB!E11+MAR!E11+ABR!E11+MAY!E11+JUN!E11+'JUL '!E11+AGO!E11+SEPT!E11+'OCT '!E11+NOV!E11+DIC!E11</f>
        <v>1</v>
      </c>
      <c r="F11" s="47">
        <f>+ENE!F11+FEB!F11+MAR!F11+ABR!F11+MAY!F11+JUN!F11+'JUL '!F11+AGO!F11+SEPT!F11+'OCT '!F11+NOV!F11+DIC!F11</f>
        <v>0</v>
      </c>
      <c r="G11" s="47">
        <f>+ENE!G11+FEB!G11+MAR!G11+ABR!G11+MAY!G11+JUN!G11+'JUL '!G11+AGO!G11+SEPT!G11+'OCT '!G11+NOV!G11+DIC!G11</f>
        <v>4</v>
      </c>
      <c r="H11" s="47">
        <f>+ENE!H11+FEB!H11+MAR!H11+ABR!H11+MAY!H11+JUN!H11+'JUL '!H11+AGO!H11+SEPT!H11+'OCT '!H11+NOV!H11+DIC!H11</f>
        <v>1</v>
      </c>
      <c r="I11" s="47">
        <f>+ENE!I11+FEB!I11+MAR!I11+ABR!I11+MAY!I11+JUN!I11+'JUL '!I11+AGO!I11+SEPT!I11+'OCT '!I11+NOV!I11+DIC!I11</f>
        <v>0</v>
      </c>
      <c r="J11" s="47">
        <f>+ENE!J11+FEB!J11+MAR!J11+ABR!J11+MAY!J11+JUN!J11+'JUL '!J11+AGO!J11+SEPT!J11+'OCT '!J11+NOV!J11+DIC!J11</f>
        <v>0</v>
      </c>
      <c r="K11" s="47">
        <f>+ENE!K11+FEB!K11+MAR!K11+ABR!K11+MAY!K11+JUN!K11+'JUL '!K11+AGO!K11+SEPT!K11+'OCT '!K11+NOV!K11+DIC!K11</f>
        <v>0</v>
      </c>
      <c r="L11" s="47">
        <f>+ENE!L11+FEB!L11+MAR!L11+ABR!L11+MAY!L11+JUN!L11+'JUL '!L11+AGO!L11+SEPT!L11+'OCT '!L11+NOV!L11+DIC!L11</f>
        <v>3</v>
      </c>
      <c r="M11" s="47">
        <f>+ENE!M11+FEB!M11+MAR!M11+ABR!M11+MAY!M11+JUN!M11+'JUL '!M11+AGO!M11+SEPT!M11+'OCT '!M11+NOV!M11+DIC!M11</f>
        <v>0</v>
      </c>
      <c r="N11" s="47">
        <f>+ENE!N11+FEB!N11+MAR!N11+ABR!N11+MAY!N11+JUN!N11+'JUL '!N11+AGO!N11+SEPT!N11+'OCT '!N11+NOV!N11+DIC!N11</f>
        <v>2</v>
      </c>
      <c r="O11" s="47">
        <f>+ENE!O11+FEB!O11+MAR!O11+ABR!O11+MAY!O11+JUN!O11+'JUL '!O11+AGO!O11+SEPT!O11+'OCT '!O11+NOV!O11+DIC!O11</f>
        <v>0</v>
      </c>
      <c r="P11" s="47">
        <f>+ENE!P11+FEB!P11+MAR!P11+ABR!P11+MAY!P11+JUN!P11+'JUL '!P11+AGO!P11+SEPT!P11+'OCT '!P11+NOV!P11+DIC!P11</f>
        <v>8</v>
      </c>
      <c r="Q11" s="47">
        <f>+ENE!Q11+FEB!Q11+MAR!Q11+ABR!Q11+MAY!Q11+JUN!Q11+'JUL '!Q11+AGO!Q11+SEPT!Q11+'OCT '!Q11+NOV!Q11+DIC!Q11</f>
        <v>0</v>
      </c>
      <c r="R11" s="47">
        <f>+ENE!R11+FEB!R11+MAR!R11+ABR!R11+MAY!R11+JUN!R11+'JUL '!R11+AGO!R11+SEPT!R11+'OCT '!R11+NOV!R11+DIC!R11</f>
        <v>3</v>
      </c>
      <c r="S11" s="47">
        <f>+ENE!S11+FEB!S11+MAR!S11+ABR!S11+MAY!S11+JUN!S11+'JUL '!S11+AGO!S11+SEPT!S11+'OCT '!S11+NOV!S11+DIC!S11</f>
        <v>0</v>
      </c>
      <c r="T11" s="47">
        <f>+ENE!T11+FEB!T11+MAR!T11+ABR!T11+MAY!T11+JUN!T11+'JUL '!T11+AGO!T11+SEPT!T11+'OCT '!T11+NOV!T11+DIC!T11</f>
        <v>0</v>
      </c>
      <c r="U11" s="47">
        <f>+ENE!U11+FEB!U11+MAR!U11+ABR!U11+MAY!U11+JUN!U11+'JUL '!U11+AGO!U11+SEPT!U11+'OCT '!U11+NOV!U11+DIC!U11</f>
        <v>0</v>
      </c>
      <c r="V11" s="47">
        <f>+ENE!V11+FEB!V11+MAR!V11+ABR!V11+MAY!V11+JUN!V11+'JUL '!V11+AGO!V11+SEPT!V11+'OCT '!V11+NOV!V11+DIC!V11</f>
        <v>0</v>
      </c>
      <c r="W11" s="47">
        <f>+ENE!W11+FEB!W11+MAR!W11+ABR!W11+MAY!W11+JUN!W11+'JUL '!W11+AGO!W11+SEPT!W11+'OCT '!W11+NOV!W11+DIC!W11</f>
        <v>0</v>
      </c>
      <c r="X11" s="47">
        <f>+ENE!X11+FEB!X11+MAR!X11+ABR!X11+MAY!X11+JUN!X11+'JUL '!X11+AGO!X11+SEPT!X11+'OCT '!X11+NOV!X11+DIC!X11</f>
        <v>6</v>
      </c>
      <c r="Y11" s="47">
        <f>+ENE!Y11+FEB!Y11+MAR!Y11+ABR!Y11+MAY!Y11+JUN!Y11+'JUL '!Y11+AGO!Y11+SEPT!Y11+'OCT '!Y11+NOV!Y11+DIC!Y11</f>
        <v>18</v>
      </c>
      <c r="Z11" s="47">
        <f>+ENE!Z11+FEB!Z11+MAR!Z11+ABR!Z11+MAY!Z11+JUN!Z11+'JUL '!Z11+AGO!Z11+SEPT!Z11+'OCT '!Z11+NOV!Z11+DIC!Z11</f>
        <v>1</v>
      </c>
      <c r="AA11" s="47">
        <f>+ENE!AA11+FEB!AA11+MAR!AA11+ABR!AA11+MAY!AA11+JUN!AA11+'JUL '!AA11+AGO!AA11+SEPT!AA11+'OCT '!AA11+NOV!AA11+DIC!AA11</f>
        <v>1</v>
      </c>
      <c r="AB11" s="47">
        <f>+ENE!AB11+FEB!AB11+MAR!AB11+ABR!AB11+MAY!AB11+JUN!AB11+'JUL '!AB11+AGO!AB11+SEPT!AB11+'OCT '!AB11+NOV!AB11+DIC!AB11</f>
        <v>0</v>
      </c>
      <c r="AC11" s="74">
        <f>+ENE!AC11+FEB!AC11+MAR!AC11+ABR!AC11+MAY!AC11+JUN!AC11+'JUL '!AC11+AGO!AC11+SEPT!AC11+'OCT '!AC11+NOV!AC11+DIC!AC11</f>
        <v>0</v>
      </c>
      <c r="AD11" s="99">
        <f>SUM(E11:AC11)</f>
        <v>48</v>
      </c>
    </row>
    <row r="12" spans="1:30" ht="14.25" thickBot="1">
      <c r="A12" s="147">
        <v>7</v>
      </c>
      <c r="B12" s="254"/>
      <c r="C12" s="251" t="s">
        <v>29</v>
      </c>
      <c r="D12" s="251"/>
      <c r="E12" s="78">
        <f>E8+E9</f>
        <v>0</v>
      </c>
      <c r="F12" s="79">
        <f aca="true" t="shared" si="1" ref="F12:AD12">F8+F9</f>
        <v>0</v>
      </c>
      <c r="G12" s="79">
        <f t="shared" si="1"/>
        <v>2</v>
      </c>
      <c r="H12" s="79">
        <f t="shared" si="1"/>
        <v>5</v>
      </c>
      <c r="I12" s="79">
        <f t="shared" si="1"/>
        <v>8</v>
      </c>
      <c r="J12" s="79">
        <f t="shared" si="1"/>
        <v>0</v>
      </c>
      <c r="K12" s="79">
        <f t="shared" si="1"/>
        <v>0</v>
      </c>
      <c r="L12" s="79">
        <f t="shared" si="1"/>
        <v>4</v>
      </c>
      <c r="M12" s="79">
        <f t="shared" si="1"/>
        <v>0</v>
      </c>
      <c r="N12" s="79">
        <f t="shared" si="1"/>
        <v>26</v>
      </c>
      <c r="O12" s="79">
        <f t="shared" si="1"/>
        <v>7</v>
      </c>
      <c r="P12" s="79">
        <f t="shared" si="1"/>
        <v>0</v>
      </c>
      <c r="Q12" s="79">
        <f t="shared" si="1"/>
        <v>0</v>
      </c>
      <c r="R12" s="79">
        <f t="shared" si="1"/>
        <v>8</v>
      </c>
      <c r="S12" s="79">
        <f>S8+S9</f>
        <v>0</v>
      </c>
      <c r="T12" s="79">
        <f t="shared" si="1"/>
        <v>1</v>
      </c>
      <c r="U12" s="79">
        <f t="shared" si="1"/>
        <v>0</v>
      </c>
      <c r="V12" s="79">
        <f t="shared" si="1"/>
        <v>0</v>
      </c>
      <c r="W12" s="79">
        <f t="shared" si="1"/>
        <v>0</v>
      </c>
      <c r="X12" s="79">
        <f t="shared" si="1"/>
        <v>2</v>
      </c>
      <c r="Y12" s="79">
        <f t="shared" si="1"/>
        <v>0</v>
      </c>
      <c r="Z12" s="79">
        <f t="shared" si="1"/>
        <v>2</v>
      </c>
      <c r="AA12" s="79">
        <f t="shared" si="1"/>
        <v>0</v>
      </c>
      <c r="AB12" s="79">
        <f t="shared" si="1"/>
        <v>0</v>
      </c>
      <c r="AC12" s="80">
        <f t="shared" si="1"/>
        <v>0</v>
      </c>
      <c r="AD12" s="106">
        <f t="shared" si="1"/>
        <v>65</v>
      </c>
    </row>
    <row r="13" spans="1:30" ht="14.25" thickBot="1">
      <c r="A13" s="147">
        <v>8</v>
      </c>
      <c r="B13" s="255"/>
      <c r="C13" s="256" t="s">
        <v>30</v>
      </c>
      <c r="D13" s="256"/>
      <c r="E13" s="75">
        <f>E10+E11</f>
        <v>1</v>
      </c>
      <c r="F13" s="76">
        <f aca="true" t="shared" si="2" ref="F13:AD13">F10+F11</f>
        <v>1</v>
      </c>
      <c r="G13" s="76">
        <f t="shared" si="2"/>
        <v>4</v>
      </c>
      <c r="H13" s="76">
        <f t="shared" si="2"/>
        <v>10</v>
      </c>
      <c r="I13" s="76">
        <f t="shared" si="2"/>
        <v>0</v>
      </c>
      <c r="J13" s="76">
        <f t="shared" si="2"/>
        <v>0</v>
      </c>
      <c r="K13" s="76">
        <f t="shared" si="2"/>
        <v>0</v>
      </c>
      <c r="L13" s="76">
        <f t="shared" si="2"/>
        <v>10</v>
      </c>
      <c r="M13" s="76">
        <f t="shared" si="2"/>
        <v>2</v>
      </c>
      <c r="N13" s="76">
        <f t="shared" si="2"/>
        <v>6</v>
      </c>
      <c r="O13" s="76">
        <f t="shared" si="2"/>
        <v>0</v>
      </c>
      <c r="P13" s="76">
        <f t="shared" si="2"/>
        <v>15</v>
      </c>
      <c r="Q13" s="76">
        <f t="shared" si="2"/>
        <v>0</v>
      </c>
      <c r="R13" s="76">
        <f t="shared" si="2"/>
        <v>3</v>
      </c>
      <c r="S13" s="76">
        <f>S10+S11</f>
        <v>4</v>
      </c>
      <c r="T13" s="76">
        <f t="shared" si="2"/>
        <v>0</v>
      </c>
      <c r="U13" s="76">
        <f t="shared" si="2"/>
        <v>0</v>
      </c>
      <c r="V13" s="76">
        <f t="shared" si="2"/>
        <v>1</v>
      </c>
      <c r="W13" s="76">
        <f t="shared" si="2"/>
        <v>1</v>
      </c>
      <c r="X13" s="76">
        <f t="shared" si="2"/>
        <v>6</v>
      </c>
      <c r="Y13" s="76">
        <f t="shared" si="2"/>
        <v>18</v>
      </c>
      <c r="Z13" s="76">
        <f t="shared" si="2"/>
        <v>4</v>
      </c>
      <c r="AA13" s="76">
        <f t="shared" si="2"/>
        <v>3</v>
      </c>
      <c r="AB13" s="76">
        <f t="shared" si="2"/>
        <v>0</v>
      </c>
      <c r="AC13" s="77">
        <f t="shared" si="2"/>
        <v>0</v>
      </c>
      <c r="AD13" s="105">
        <f t="shared" si="2"/>
        <v>89</v>
      </c>
    </row>
    <row r="14" spans="1:30" ht="13.5">
      <c r="A14" s="143">
        <v>9</v>
      </c>
      <c r="B14" s="253" t="s">
        <v>31</v>
      </c>
      <c r="C14" s="149" t="s">
        <v>32</v>
      </c>
      <c r="D14" s="46" t="s">
        <v>33</v>
      </c>
      <c r="E14" s="56">
        <f>+ENE!E14+FEB!E14+MAR!E14+ABR!E14+MAY!E14+JUN!E14+'JUL '!E14+AGO!E14+SEPT!E14+'OCT '!E14+NOV!E14+DIC!E14</f>
        <v>0</v>
      </c>
      <c r="F14" s="9">
        <f>+ENE!F14+FEB!F14+MAR!F14+ABR!F14+MAY!F14+JUN!F14+'JUL '!F14+AGO!F14+SEPT!F14+'OCT '!F14+NOV!F14+DIC!F14</f>
        <v>0</v>
      </c>
      <c r="G14" s="9">
        <f>+ENE!G14+FEB!G14+MAR!G14+ABR!G14+MAY!G14+JUN!G14+'JUL '!G14+AGO!G14+SEPT!G14+'OCT '!G14+NOV!G14+DIC!G14</f>
        <v>0</v>
      </c>
      <c r="H14" s="9">
        <f>+ENE!H14+FEB!H14+MAR!H14+ABR!H14+MAY!H14+JUN!H14+'JUL '!H14+AGO!H14+SEPT!H14+'OCT '!H14+NOV!H14+DIC!H14</f>
        <v>5</v>
      </c>
      <c r="I14" s="9">
        <f>+ENE!I14+FEB!I14+MAR!I14+ABR!I14+MAY!I14+JUN!I14+'JUL '!I14+AGO!I14+SEPT!I14+'OCT '!I14+NOV!I14+DIC!I14</f>
        <v>0</v>
      </c>
      <c r="J14" s="9">
        <f>+ENE!J14+FEB!J14+MAR!J14+ABR!J14+MAY!J14+JUN!J14+'JUL '!J14+AGO!J14+SEPT!J14+'OCT '!J14+NOV!J14+DIC!J14</f>
        <v>0</v>
      </c>
      <c r="K14" s="9">
        <f>+ENE!K14+FEB!K14+MAR!K14+ABR!K14+MAY!K14+JUN!K14+'JUL '!K14+AGO!K14+SEPT!K14+'OCT '!K14+NOV!K14+DIC!K14</f>
        <v>0</v>
      </c>
      <c r="L14" s="9">
        <f>+ENE!L14+FEB!L14+MAR!L14+ABR!L14+MAY!L14+JUN!L14+'JUL '!L14+AGO!L14+SEPT!L14+'OCT '!L14+NOV!L14+DIC!L14</f>
        <v>0</v>
      </c>
      <c r="M14" s="9">
        <f>+ENE!M14+FEB!M14+MAR!M14+ABR!M14+MAY!M14+JUN!M14+'JUL '!M14+AGO!M14+SEPT!M14+'OCT '!M14+NOV!M14+DIC!M14</f>
        <v>0</v>
      </c>
      <c r="N14" s="9">
        <f>+ENE!N14+FEB!N14+MAR!N14+ABR!N14+MAY!N14+JUN!N14+'JUL '!N14+AGO!N14+SEPT!N14+'OCT '!N14+NOV!N14+DIC!N14</f>
        <v>0</v>
      </c>
      <c r="O14" s="9">
        <f>+ENE!O14+FEB!O14+MAR!O14+ABR!O14+MAY!O14+JUN!O14+'JUL '!O14+AGO!O14+SEPT!O14+'OCT '!O14+NOV!O14+DIC!O14</f>
        <v>0</v>
      </c>
      <c r="P14" s="9">
        <f>+ENE!P14+FEB!P14+MAR!P14+ABR!P14+MAY!P14+JUN!P14+'JUL '!P14+AGO!P14+SEPT!P14+'OCT '!P14+NOV!P14+DIC!P14</f>
        <v>5</v>
      </c>
      <c r="Q14" s="9">
        <f>+ENE!Q14+FEB!Q14+MAR!Q14+ABR!Q14+MAY!Q14+JUN!Q14+'JUL '!Q14+AGO!Q14+SEPT!Q14+'OCT '!Q14+NOV!Q14+DIC!Q14</f>
        <v>0</v>
      </c>
      <c r="R14" s="9">
        <f>+ENE!R14+FEB!R14+MAR!R14+ABR!R14+MAY!R14+JUN!R14+'JUL '!R14+AGO!R14+SEPT!R14+'OCT '!R14+NOV!R14+DIC!R14</f>
        <v>0</v>
      </c>
      <c r="S14" s="9">
        <f>+ENE!S14+FEB!S14+MAR!S14+ABR!S14+MAY!S14+JUN!S14+'JUL '!S14+AGO!S14+SEPT!S14+'OCT '!S14+NOV!S14+DIC!S14</f>
        <v>0</v>
      </c>
      <c r="T14" s="9">
        <f>+ENE!T14+FEB!T14+MAR!T14+ABR!T14+MAY!T14+JUN!T14+'JUL '!T14+AGO!T14+SEPT!T14+'OCT '!T14+NOV!T14+DIC!T14</f>
        <v>0</v>
      </c>
      <c r="U14" s="9">
        <f>+ENE!U14+FEB!U14+MAR!U14+ABR!U14+MAY!U14+JUN!U14+'JUL '!U14+AGO!U14+SEPT!U14+'OCT '!U14+NOV!U14+DIC!U14</f>
        <v>0</v>
      </c>
      <c r="V14" s="9">
        <f>+ENE!V14+FEB!V14+MAR!V14+ABR!V14+MAY!V14+JUN!V14+'JUL '!V14+AGO!V14+SEPT!V14+'OCT '!V14+NOV!V14+DIC!V14</f>
        <v>2</v>
      </c>
      <c r="W14" s="9">
        <f>+ENE!W14+FEB!W14+MAR!W14+ABR!W14+MAY!W14+JUN!W14+'JUL '!W14+AGO!W14+SEPT!W14+'OCT '!W14+NOV!W14+DIC!W14</f>
        <v>0</v>
      </c>
      <c r="X14" s="9">
        <f>+ENE!X14+FEB!X14+MAR!X14+ABR!X14+MAY!X14+JUN!X14+'JUL '!X14+AGO!X14+SEPT!X14+'OCT '!X14+NOV!X14+DIC!X14</f>
        <v>0</v>
      </c>
      <c r="Y14" s="9">
        <f>+ENE!Y14+FEB!Y14+MAR!Y14+ABR!Y14+MAY!Y14+JUN!Y14+'JUL '!Y14+AGO!Y14+SEPT!Y14+'OCT '!Y14+NOV!Y14+DIC!Y14</f>
        <v>0</v>
      </c>
      <c r="Z14" s="9">
        <f>+ENE!Z14+FEB!Z14+MAR!Z14+ABR!Z14+MAY!Z14+JUN!Z14+'JUL '!Z14+AGO!Z14+SEPT!Z14+'OCT '!Z14+NOV!Z14+DIC!Z14</f>
        <v>0</v>
      </c>
      <c r="AA14" s="9">
        <f>+ENE!AA14+FEB!AA14+MAR!AA14+ABR!AA14+MAY!AA14+JUN!AA14+'JUL '!AA14+AGO!AA14+SEPT!AA14+'OCT '!AA14+NOV!AA14+DIC!AA14</f>
        <v>0</v>
      </c>
      <c r="AB14" s="9">
        <f>+ENE!AB14+FEB!AB14+MAR!AB14+ABR!AB14+MAY!AB14+JUN!AB14+'JUL '!AB14+AGO!AB14+SEPT!AB14+'OCT '!AB14+NOV!AB14+DIC!AB14</f>
        <v>0</v>
      </c>
      <c r="AC14" s="57">
        <f>+ENE!AC14+FEB!AC14+MAR!AC14+ABR!AC14+MAY!AC14+JUN!AC14+'JUL '!AC14+AGO!AC14+SEPT!AC14+'OCT '!AC14+NOV!AC14+DIC!AC14</f>
        <v>0</v>
      </c>
      <c r="AD14" s="98">
        <f>SUM(E14:AC14)</f>
        <v>12</v>
      </c>
    </row>
    <row r="15" spans="1:30" ht="13.5">
      <c r="A15" s="144"/>
      <c r="B15" s="254"/>
      <c r="C15" s="150"/>
      <c r="D15" s="42" t="s">
        <v>34</v>
      </c>
      <c r="E15" s="58">
        <f>+ENE!E15+FEB!E15+MAR!E15+ABR!E15+MAY!E15+JUN!E15+'JUL '!E15+AGO!E15+SEPT!E15+'OCT '!E15+NOV!E15+DIC!E15</f>
        <v>0</v>
      </c>
      <c r="F15" s="18">
        <f>+ENE!F15+FEB!F15+MAR!F15+ABR!F15+MAY!F15+JUN!F15+'JUL '!F15+AGO!F15+SEPT!F15+'OCT '!F15+NOV!F15+DIC!F15</f>
        <v>0</v>
      </c>
      <c r="G15" s="18">
        <f>+ENE!G15+FEB!G15+MAR!G15+ABR!G15+MAY!G15+JUN!G15+'JUL '!G15+AGO!G15+SEPT!G15+'OCT '!G15+NOV!G15+DIC!G15</f>
        <v>0</v>
      </c>
      <c r="H15" s="18">
        <f>+ENE!H15+FEB!H15+MAR!H15+ABR!H15+MAY!H15+JUN!H15+'JUL '!H15+AGO!H15+SEPT!H15+'OCT '!H15+NOV!H15+DIC!H15</f>
        <v>125</v>
      </c>
      <c r="I15" s="18">
        <f>+ENE!I15+FEB!I15+MAR!I15+ABR!I15+MAY!I15+JUN!I15+'JUL '!I15+AGO!I15+SEPT!I15+'OCT '!I15+NOV!I15+DIC!I15</f>
        <v>0</v>
      </c>
      <c r="J15" s="18">
        <f>+ENE!J15+FEB!J15+MAR!J15+ABR!J15+MAY!J15+JUN!J15+'JUL '!J15+AGO!J15+SEPT!J15+'OCT '!J15+NOV!J15+DIC!J15</f>
        <v>0</v>
      </c>
      <c r="K15" s="18">
        <f>+ENE!K15+FEB!K15+MAR!K15+ABR!K15+MAY!K15+JUN!K15+'JUL '!K15+AGO!K15+SEPT!K15+'OCT '!K15+NOV!K15+DIC!K15</f>
        <v>0</v>
      </c>
      <c r="L15" s="18">
        <f>+ENE!L15+FEB!L15+MAR!L15+ABR!L15+MAY!L15+JUN!L15+'JUL '!L15+AGO!L15+SEPT!L15+'OCT '!L15+NOV!L15+DIC!L15</f>
        <v>0</v>
      </c>
      <c r="M15" s="18">
        <f>+ENE!M15+FEB!M15+MAR!M15+ABR!M15+MAY!M15+JUN!M15+'JUL '!M15+AGO!M15+SEPT!M15+'OCT '!M15+NOV!M15+DIC!M15</f>
        <v>0</v>
      </c>
      <c r="N15" s="18">
        <f>+ENE!N15+FEB!N15+MAR!N15+ABR!N15+MAY!N15+JUN!N15+'JUL '!N15+AGO!N15+SEPT!N15+'OCT '!N15+NOV!N15+DIC!N15</f>
        <v>0</v>
      </c>
      <c r="O15" s="18">
        <f>+ENE!O15+FEB!O15+MAR!O15+ABR!O15+MAY!O15+JUN!O15+'JUL '!O15+AGO!O15+SEPT!O15+'OCT '!O15+NOV!O15+DIC!O15</f>
        <v>0</v>
      </c>
      <c r="P15" s="18">
        <f>+ENE!P15+FEB!P15+MAR!P15+ABR!P15+MAY!P15+JUN!P15+'JUL '!P15+AGO!P15+SEPT!P15+'OCT '!P15+NOV!P15+DIC!P15</f>
        <v>331</v>
      </c>
      <c r="Q15" s="18">
        <f>+ENE!Q15+FEB!Q15+MAR!Q15+ABR!Q15+MAY!Q15+JUN!Q15+'JUL '!Q15+AGO!Q15+SEPT!Q15+'OCT '!Q15+NOV!Q15+DIC!Q15</f>
        <v>0</v>
      </c>
      <c r="R15" s="18">
        <f>+ENE!R15+FEB!R15+MAR!R15+ABR!R15+MAY!R15+JUN!R15+'JUL '!R15+AGO!R15+SEPT!R15+'OCT '!R15+NOV!R15+DIC!R15</f>
        <v>0</v>
      </c>
      <c r="S15" s="18">
        <f>+ENE!S15+FEB!S15+MAR!S15+ABR!S15+MAY!S15+JUN!S15+'JUL '!S15+AGO!S15+SEPT!S15+'OCT '!S15+NOV!S15+DIC!S15</f>
        <v>0</v>
      </c>
      <c r="T15" s="18">
        <f>+ENE!T15+FEB!T15+MAR!T15+ABR!T15+MAY!T15+JUN!T15+'JUL '!T15+AGO!T15+SEPT!T15+'OCT '!T15+NOV!T15+DIC!T15</f>
        <v>0</v>
      </c>
      <c r="U15" s="18">
        <f>+ENE!U15+FEB!U15+MAR!U15+ABR!U15+MAY!U15+JUN!U15+'JUL '!U15+AGO!U15+SEPT!U15+'OCT '!U15+NOV!U15+DIC!U15</f>
        <v>0</v>
      </c>
      <c r="V15" s="18">
        <f>+ENE!V15+FEB!V15+MAR!V15+ABR!V15+MAY!V15+JUN!V15+'JUL '!V15+AGO!V15+SEPT!V15+'OCT '!V15+NOV!V15+DIC!V15</f>
        <v>0</v>
      </c>
      <c r="W15" s="18">
        <f>+ENE!W15+FEB!W15+MAR!W15+ABR!W15+MAY!W15+JUN!W15+'JUL '!W15+AGO!W15+SEPT!W15+'OCT '!W15+NOV!W15+DIC!W15</f>
        <v>0</v>
      </c>
      <c r="X15" s="18">
        <f>+ENE!X15+FEB!X15+MAR!X15+ABR!X15+MAY!X15+JUN!X15+'JUL '!X15+AGO!X15+SEPT!X15+'OCT '!X15+NOV!X15+DIC!X15</f>
        <v>0</v>
      </c>
      <c r="Y15" s="18">
        <f>+ENE!Y15+FEB!Y15+MAR!Y15+ABR!Y15+MAY!Y15+JUN!Y15+'JUL '!Y15+AGO!Y15+SEPT!Y15+'OCT '!Y15+NOV!Y15+DIC!Y15</f>
        <v>0</v>
      </c>
      <c r="Z15" s="18">
        <f>+ENE!Z15+FEB!Z15+MAR!Z15+ABR!Z15+MAY!Z15+JUN!Z15+'JUL '!Z15+AGO!Z15+SEPT!Z15+'OCT '!Z15+NOV!Z15+DIC!Z15</f>
        <v>0</v>
      </c>
      <c r="AA15" s="18">
        <f>+ENE!AA15+FEB!AA15+MAR!AA15+ABR!AA15+MAY!AA15+JUN!AA15+'JUL '!AA15+AGO!AA15+SEPT!AA15+'OCT '!AA15+NOV!AA15+DIC!AA15</f>
        <v>0</v>
      </c>
      <c r="AB15" s="18">
        <f>+ENE!AB15+FEB!AB15+MAR!AB15+ABR!AB15+MAY!AB15+JUN!AB15+'JUL '!AB15+AGO!AB15+SEPT!AB15+'OCT '!AB15+NOV!AB15+DIC!AB15</f>
        <v>0</v>
      </c>
      <c r="AC15" s="59">
        <f>+ENE!AC15+FEB!AC15+MAR!AC15+ABR!AC15+MAY!AC15+JUN!AC15+'JUL '!AC15+AGO!AC15+SEPT!AC15+'OCT '!AC15+NOV!AC15+DIC!AC15</f>
        <v>0</v>
      </c>
      <c r="AD15" s="101">
        <f aca="true" t="shared" si="3" ref="AD15:AD21">SUM(E15:AC15)</f>
        <v>456</v>
      </c>
    </row>
    <row r="16" spans="1:30" ht="13.5">
      <c r="A16" s="145">
        <v>10</v>
      </c>
      <c r="B16" s="254"/>
      <c r="C16" s="123" t="s">
        <v>26</v>
      </c>
      <c r="D16" s="42" t="s">
        <v>33</v>
      </c>
      <c r="E16" s="58">
        <f>+ENE!E16+FEB!E16+MAR!E16+ABR!E16+MAY!E16+JUN!E16+'JUL '!E16+AGO!E16+SEPT!E16+'OCT '!E16+NOV!E16+DIC!E16</f>
        <v>16</v>
      </c>
      <c r="F16" s="18">
        <f>+ENE!F16+FEB!F16+MAR!F16+ABR!F16+MAY!F16+JUN!F16+'JUL '!F16+AGO!F16+SEPT!F16+'OCT '!F16+NOV!F16+DIC!F16</f>
        <v>6</v>
      </c>
      <c r="G16" s="18">
        <f>+ENE!G16+FEB!G16+MAR!G16+ABR!G16+MAY!G16+JUN!G16+'JUL '!G16+AGO!G16+SEPT!G16+'OCT '!G16+NOV!G16+DIC!G16</f>
        <v>86</v>
      </c>
      <c r="H16" s="18">
        <f>+ENE!H16+FEB!H16+MAR!H16+ABR!H16+MAY!H16+JUN!H16+'JUL '!H16+AGO!H16+SEPT!H16+'OCT '!H16+NOV!H16+DIC!H16</f>
        <v>281</v>
      </c>
      <c r="I16" s="18">
        <f>+ENE!I16+FEB!I16+MAR!I16+ABR!I16+MAY!I16+JUN!I16+'JUL '!I16+AGO!I16+SEPT!I16+'OCT '!I16+NOV!I16+DIC!I16</f>
        <v>129</v>
      </c>
      <c r="J16" s="18">
        <f>+ENE!J16+FEB!J16+MAR!J16+ABR!J16+MAY!J16+JUN!J16+'JUL '!J16+AGO!J16+SEPT!J16+'OCT '!J16+NOV!J16+DIC!J16</f>
        <v>16</v>
      </c>
      <c r="K16" s="18">
        <f>+ENE!K16+FEB!K16+MAR!K16+ABR!K16+MAY!K16+JUN!K16+'JUL '!K16+AGO!K16+SEPT!K16+'OCT '!K16+NOV!K16+DIC!K16</f>
        <v>25</v>
      </c>
      <c r="L16" s="18">
        <f>+ENE!L16+FEB!L16+MAR!L16+ABR!L16+MAY!L16+JUN!L16+'JUL '!L16+AGO!L16+SEPT!L16+'OCT '!L16+NOV!L16+DIC!L16</f>
        <v>599</v>
      </c>
      <c r="M16" s="18">
        <f>+ENE!M16+FEB!M16+MAR!M16+ABR!M16+MAY!M16+JUN!M16+'JUL '!M16+AGO!M16+SEPT!M16+'OCT '!M16+NOV!M16+DIC!M16</f>
        <v>18</v>
      </c>
      <c r="N16" s="18">
        <f>+ENE!N16+FEB!N16+MAR!N16+ABR!N16+MAY!N16+JUN!N16+'JUL '!N16+AGO!N16+SEPT!N16+'OCT '!N16+NOV!N16+DIC!N16</f>
        <v>1079</v>
      </c>
      <c r="O16" s="18">
        <f>+ENE!O16+FEB!O16+MAR!O16+ABR!O16+MAY!O16+JUN!O16+'JUL '!O16+AGO!O16+SEPT!O16+'OCT '!O16+NOV!O16+DIC!O16</f>
        <v>102</v>
      </c>
      <c r="P16" s="18">
        <f>+ENE!P16+FEB!P16+MAR!P16+ABR!P16+MAY!P16+JUN!P16+'JUL '!P16+AGO!P16+SEPT!P16+'OCT '!P16+NOV!P16+DIC!P16</f>
        <v>12</v>
      </c>
      <c r="Q16" s="18">
        <f>+ENE!Q16+FEB!Q16+MAR!Q16+ABR!Q16+MAY!Q16+JUN!Q16+'JUL '!Q16+AGO!Q16+SEPT!Q16+'OCT '!Q16+NOV!Q16+DIC!Q16</f>
        <v>1</v>
      </c>
      <c r="R16" s="18">
        <f>+ENE!R16+FEB!R16+MAR!R16+ABR!R16+MAY!R16+JUN!R16+'JUL '!R16+AGO!R16+SEPT!R16+'OCT '!R16+NOV!R16+DIC!R16</f>
        <v>44</v>
      </c>
      <c r="S16" s="18">
        <f>+ENE!S16+FEB!S16+MAR!S16+ABR!S16+MAY!S16+JUN!S16+'JUL '!S16+AGO!S16+SEPT!S16+'OCT '!S16+NOV!S16+DIC!S16</f>
        <v>0</v>
      </c>
      <c r="T16" s="18">
        <f>+ENE!T16+FEB!T16+MAR!T16+ABR!T16+MAY!T16+JUN!T16+'JUL '!T16+AGO!T16+SEPT!T16+'OCT '!T16+NOV!T16+DIC!T16</f>
        <v>31</v>
      </c>
      <c r="U16" s="18">
        <f>+ENE!U16+FEB!U16+MAR!U16+ABR!U16+MAY!U16+JUN!U16+'JUL '!U16+AGO!U16+SEPT!U16+'OCT '!U16+NOV!U16+DIC!U16</f>
        <v>5</v>
      </c>
      <c r="V16" s="18">
        <f>+ENE!V16+FEB!V16+MAR!V16+ABR!V16+MAY!V16+JUN!V16+'JUL '!V16+AGO!V16+SEPT!V16+'OCT '!V16+NOV!V16+DIC!V16</f>
        <v>2</v>
      </c>
      <c r="W16" s="18">
        <f>+ENE!W16+FEB!W16+MAR!W16+ABR!W16+MAY!W16+JUN!W16+'JUL '!W16+AGO!W16+SEPT!W16+'OCT '!W16+NOV!W16+DIC!W16</f>
        <v>5</v>
      </c>
      <c r="X16" s="18">
        <f>+ENE!X16+FEB!X16+MAR!X16+ABR!X16+MAY!X16+JUN!X16+'JUL '!X16+AGO!X16+SEPT!X16+'OCT '!X16+NOV!X16+DIC!X16</f>
        <v>2</v>
      </c>
      <c r="Y16" s="18">
        <f>+ENE!Y16+FEB!Y16+MAR!Y16+ABR!Y16+MAY!Y16+JUN!Y16+'JUL '!Y16+AGO!Y16+SEPT!Y16+'OCT '!Y16+NOV!Y16+DIC!Y16</f>
        <v>59</v>
      </c>
      <c r="Z16" s="18">
        <f>+ENE!Z16+FEB!Z16+MAR!Z16+ABR!Z16+MAY!Z16+JUN!Z16+'JUL '!Z16+AGO!Z16+SEPT!Z16+'OCT '!Z16+NOV!Z16+DIC!Z16</f>
        <v>127</v>
      </c>
      <c r="AA16" s="18">
        <f>+ENE!AA16+FEB!AA16+MAR!AA16+ABR!AA16+MAY!AA16+JUN!AA16+'JUL '!AA16+AGO!AA16+SEPT!AA16+'OCT '!AA16+NOV!AA16+DIC!AA16</f>
        <v>11</v>
      </c>
      <c r="AB16" s="18">
        <f>+ENE!AB16+FEB!AB16+MAR!AB16+ABR!AB16+MAY!AB16+JUN!AB16+'JUL '!AB16+AGO!AB16+SEPT!AB16+'OCT '!AB16+NOV!AB16+DIC!AB16</f>
        <v>8</v>
      </c>
      <c r="AC16" s="59">
        <f>+ENE!AC16+FEB!AC16+MAR!AC16+ABR!AC16+MAY!AC16+JUN!AC16+'JUL '!AC16+AGO!AC16+SEPT!AC16+'OCT '!AC16+NOV!AC16+DIC!AC16</f>
        <v>35</v>
      </c>
      <c r="AD16" s="101">
        <f t="shared" si="3"/>
        <v>2699</v>
      </c>
    </row>
    <row r="17" spans="1:30" ht="13.5">
      <c r="A17" s="145" t="s">
        <v>35</v>
      </c>
      <c r="B17" s="254"/>
      <c r="C17" s="150"/>
      <c r="D17" s="42" t="s">
        <v>34</v>
      </c>
      <c r="E17" s="58">
        <f>+ENE!E17+FEB!E17+MAR!E17+ABR!E17+MAY!E17+JUN!E17+'JUL '!E17+AGO!E17+SEPT!E17+'OCT '!E17+NOV!E17+DIC!E17</f>
        <v>399</v>
      </c>
      <c r="F17" s="18">
        <f>+ENE!F17+FEB!F17+MAR!F17+ABR!F17+MAY!F17+JUN!F17+'JUL '!F17+AGO!F17+SEPT!F17+'OCT '!F17+NOV!F17+DIC!F17</f>
        <v>155</v>
      </c>
      <c r="G17" s="18">
        <f>+ENE!G17+FEB!G17+MAR!G17+ABR!G17+MAY!G17+JUN!G17+'JUL '!G17+AGO!G17+SEPT!G17+'OCT '!G17+NOV!G17+DIC!G17</f>
        <v>3370</v>
      </c>
      <c r="H17" s="18">
        <f>+ENE!H17+FEB!H17+MAR!H17+ABR!H17+MAY!H17+JUN!H17+'JUL '!H17+AGO!H17+SEPT!H17+'OCT '!H17+NOV!H17+DIC!H17</f>
        <v>9889.6</v>
      </c>
      <c r="I17" s="18">
        <f>+ENE!I17+FEB!I17+MAR!I17+ABR!I17+MAY!I17+JUN!I17+'JUL '!I17+AGO!I17+SEPT!I17+'OCT '!I17+NOV!I17+DIC!I17</f>
        <v>8643</v>
      </c>
      <c r="J17" s="18">
        <f>+ENE!J17+FEB!J17+MAR!J17+ABR!J17+MAY!J17+JUN!J17+'JUL '!J17+AGO!J17+SEPT!J17+'OCT '!J17+NOV!J17+DIC!J17</f>
        <v>2291</v>
      </c>
      <c r="K17" s="18">
        <f>+ENE!K17+FEB!K17+MAR!K17+ABR!K17+MAY!K17+JUN!K17+'JUL '!K17+AGO!K17+SEPT!K17+'OCT '!K17+NOV!K17+DIC!K17</f>
        <v>695.6</v>
      </c>
      <c r="L17" s="18">
        <f>+ENE!L17+FEB!L17+MAR!L17+ABR!L17+MAY!L17+JUN!L17+'JUL '!L17+AGO!L17+SEPT!L17+'OCT '!L17+NOV!L17+DIC!L17</f>
        <v>23166</v>
      </c>
      <c r="M17" s="18">
        <f>+ENE!M17+FEB!M17+MAR!M17+ABR!M17+MAY!M17+JUN!M17+'JUL '!M17+AGO!M17+SEPT!M17+'OCT '!M17+NOV!M17+DIC!M17</f>
        <v>1057</v>
      </c>
      <c r="N17" s="18">
        <f>+ENE!N17+FEB!N17+MAR!N17+ABR!N17+MAY!N17+JUN!N17+'JUL '!N17+AGO!N17+SEPT!N17+'OCT '!N17+NOV!N17+DIC!N17</f>
        <v>62153.6</v>
      </c>
      <c r="O17" s="18">
        <f>+ENE!O17+FEB!O17+MAR!O17+ABR!O17+MAY!O17+JUN!O17+'JUL '!O17+AGO!O17+SEPT!O17+'OCT '!O17+NOV!O17+DIC!O17</f>
        <v>4795.2</v>
      </c>
      <c r="P17" s="18">
        <f>+ENE!P17+FEB!P17+MAR!P17+ABR!P17+MAY!P17+JUN!P17+'JUL '!P17+AGO!P17+SEPT!P17+'OCT '!P17+NOV!P17+DIC!P17</f>
        <v>639</v>
      </c>
      <c r="Q17" s="18">
        <f>+ENE!Q17+FEB!Q17+MAR!Q17+ABR!Q17+MAY!Q17+JUN!Q17+'JUL '!Q17+AGO!Q17+SEPT!Q17+'OCT '!Q17+NOV!Q17+DIC!Q17</f>
        <v>60</v>
      </c>
      <c r="R17" s="18">
        <f>+ENE!R17+FEB!R17+MAR!R17+ABR!R17+MAY!R17+JUN!R17+'JUL '!R17+AGO!R17+SEPT!R17+'OCT '!R17+NOV!R17+DIC!R17</f>
        <v>634</v>
      </c>
      <c r="S17" s="18">
        <f>+ENE!S17+FEB!S17+MAR!S17+ABR!S17+MAY!S17+JUN!S17+'JUL '!S17+AGO!S17+SEPT!S17+'OCT '!S17+NOV!S17+DIC!S17</f>
        <v>0</v>
      </c>
      <c r="T17" s="18">
        <f>+ENE!T17+FEB!T17+MAR!T17+ABR!T17+MAY!T17+JUN!T17+'JUL '!T17+AGO!T17+SEPT!T17+'OCT '!T17+NOV!T17+DIC!T17</f>
        <v>1451</v>
      </c>
      <c r="U17" s="18">
        <f>+ENE!U17+FEB!U17+MAR!U17+ABR!U17+MAY!U17+JUN!U17+'JUL '!U17+AGO!U17+SEPT!U17+'OCT '!U17+NOV!U17+DIC!U17</f>
        <v>275</v>
      </c>
      <c r="V17" s="18">
        <f>+ENE!V17+FEB!V17+MAR!V17+ABR!V17+MAY!V17+JUN!V17+'JUL '!V17+AGO!V17+SEPT!V17+'OCT '!V17+NOV!V17+DIC!V17</f>
        <v>43</v>
      </c>
      <c r="W17" s="18">
        <f>+ENE!W17+FEB!W17+MAR!W17+ABR!W17+MAY!W17+JUN!W17+'JUL '!W17+AGO!W17+SEPT!W17+'OCT '!W17+NOV!W17+DIC!W17</f>
        <v>322</v>
      </c>
      <c r="X17" s="18">
        <f>+ENE!X17+FEB!X17+MAR!X17+ABR!X17+MAY!X17+JUN!X17+'JUL '!X17+AGO!X17+SEPT!X17+'OCT '!X17+NOV!X17+DIC!X17</f>
        <v>15</v>
      </c>
      <c r="Y17" s="18">
        <f>+ENE!Y17+FEB!Y17+MAR!Y17+ABR!Y17+MAY!Y17+JUN!Y17+'JUL '!Y17+AGO!Y17+SEPT!Y17+'OCT '!Y17+NOV!Y17+DIC!Y17</f>
        <v>2765</v>
      </c>
      <c r="Z17" s="18">
        <f>+ENE!Z17+FEB!Z17+MAR!Z17+ABR!Z17+MAY!Z17+JUN!Z17+'JUL '!Z17+AGO!Z17+SEPT!Z17+'OCT '!Z17+NOV!Z17+DIC!Z17</f>
        <v>4292</v>
      </c>
      <c r="AA17" s="18">
        <f>+ENE!AA17+FEB!AA17+MAR!AA17+ABR!AA17+MAY!AA17+JUN!AA17+'JUL '!AA17+AGO!AA17+SEPT!AA17+'OCT '!AA17+NOV!AA17+DIC!AA17</f>
        <v>904</v>
      </c>
      <c r="AB17" s="18">
        <f>+ENE!AB17+FEB!AB17+MAR!AB17+ABR!AB17+MAY!AB17+JUN!AB17+'JUL '!AB17+AGO!AB17+SEPT!AB17+'OCT '!AB17+NOV!AB17+DIC!AB17</f>
        <v>730</v>
      </c>
      <c r="AC17" s="59">
        <f>+ENE!AC17+FEB!AC17+MAR!AC17+ABR!AC17+MAY!AC17+JUN!AC17+'JUL '!AC17+AGO!AC17+SEPT!AC17+'OCT '!AC17+NOV!AC17+DIC!AC17</f>
        <v>2124</v>
      </c>
      <c r="AD17" s="101">
        <f t="shared" si="3"/>
        <v>130868.99999999999</v>
      </c>
    </row>
    <row r="18" spans="1:30" ht="13.5">
      <c r="A18" s="145">
        <v>11</v>
      </c>
      <c r="B18" s="254"/>
      <c r="C18" s="123" t="s">
        <v>27</v>
      </c>
      <c r="D18" s="42" t="s">
        <v>33</v>
      </c>
      <c r="E18" s="58">
        <f>+ENE!E18+FEB!E18+MAR!E18+ABR!E18+MAY!E18+JUN!E18+'JUL '!E18+AGO!E18+SEPT!E18+'OCT '!E18+NOV!E18+DIC!E18</f>
        <v>6</v>
      </c>
      <c r="F18" s="18">
        <f>+ENE!F18+FEB!F18+MAR!F18+ABR!F18+MAY!F18+JUN!F18+'JUL '!F18+AGO!F18+SEPT!F18+'OCT '!F18+NOV!F18+DIC!F18</f>
        <v>5</v>
      </c>
      <c r="G18" s="18">
        <f>+ENE!G18+FEB!G18+MAR!G18+ABR!G18+MAY!G18+JUN!G18+'JUL '!G18+AGO!G18+SEPT!G18+'OCT '!G18+NOV!G18+DIC!G18</f>
        <v>55</v>
      </c>
      <c r="H18" s="18">
        <f>+ENE!H18+FEB!H18+MAR!H18+ABR!H18+MAY!H18+JUN!H18+'JUL '!H18+AGO!H18+SEPT!H18+'OCT '!H18+NOV!H18+DIC!H18</f>
        <v>112</v>
      </c>
      <c r="I18" s="18">
        <f>+ENE!I18+FEB!I18+MAR!I18+ABR!I18+MAY!I18+JUN!I18+'JUL '!I18+AGO!I18+SEPT!I18+'OCT '!I18+NOV!I18+DIC!I18</f>
        <v>0</v>
      </c>
      <c r="J18" s="18">
        <f>+ENE!J18+FEB!J18+MAR!J18+ABR!J18+MAY!J18+JUN!J18+'JUL '!J18+AGO!J18+SEPT!J18+'OCT '!J18+NOV!J18+DIC!J18</f>
        <v>6</v>
      </c>
      <c r="K18" s="18">
        <f>+ENE!K18+FEB!K18+MAR!K18+ABR!K18+MAY!K18+JUN!K18+'JUL '!K18+AGO!K18+SEPT!K18+'OCT '!K18+NOV!K18+DIC!K18</f>
        <v>6</v>
      </c>
      <c r="L18" s="18">
        <f>+ENE!L18+FEB!L18+MAR!L18+ABR!L18+MAY!L18+JUN!L18+'JUL '!L18+AGO!L18+SEPT!L18+'OCT '!L18+NOV!L18+DIC!L18</f>
        <v>305</v>
      </c>
      <c r="M18" s="18">
        <f>+ENE!M18+FEB!M18+MAR!M18+ABR!M18+MAY!M18+JUN!M18+'JUL '!M18+AGO!M18+SEPT!M18+'OCT '!M18+NOV!M18+DIC!M18</f>
        <v>47</v>
      </c>
      <c r="N18" s="18">
        <f>+ENE!N18+FEB!N18+MAR!N18+ABR!N18+MAY!N18+JUN!N18+'JUL '!N18+AGO!N18+SEPT!N18+'OCT '!N18+NOV!N18+DIC!N18</f>
        <v>693</v>
      </c>
      <c r="O18" s="18">
        <f>+ENE!O18+FEB!O18+MAR!O18+ABR!O18+MAY!O18+JUN!O18+'JUL '!O18+AGO!O18+SEPT!O18+'OCT '!O18+NOV!O18+DIC!O18</f>
        <v>1</v>
      </c>
      <c r="P18" s="18">
        <f>+ENE!P18+FEB!P18+MAR!P18+ABR!P18+MAY!P18+JUN!P18+'JUL '!P18+AGO!P18+SEPT!P18+'OCT '!P18+NOV!P18+DIC!P18</f>
        <v>24</v>
      </c>
      <c r="Q18" s="18">
        <f>+ENE!Q18+FEB!Q18+MAR!Q18+ABR!Q18+MAY!Q18+JUN!Q18+'JUL '!Q18+AGO!Q18+SEPT!Q18+'OCT '!Q18+NOV!Q18+DIC!Q18</f>
        <v>1</v>
      </c>
      <c r="R18" s="18">
        <f>+ENE!R18+FEB!R18+MAR!R18+ABR!R18+MAY!R18+JUN!R18+'JUL '!R18+AGO!R18+SEPT!R18+'OCT '!R18+NOV!R18+DIC!R18</f>
        <v>34</v>
      </c>
      <c r="S18" s="18">
        <f>+ENE!S18+FEB!S18+MAR!S18+ABR!S18+MAY!S18+JUN!S18+'JUL '!S18+AGO!S18+SEPT!S18+'OCT '!S18+NOV!S18+DIC!S18</f>
        <v>0</v>
      </c>
      <c r="T18" s="18">
        <f>+ENE!T18+FEB!T18+MAR!T18+ABR!T18+MAY!T18+JUN!T18+'JUL '!T18+AGO!T18+SEPT!T18+'OCT '!T18+NOV!T18+DIC!T18</f>
        <v>0</v>
      </c>
      <c r="U18" s="18">
        <f>+ENE!U18+FEB!U18+MAR!U18+ABR!U18+MAY!U18+JUN!U18+'JUL '!U18+AGO!U18+SEPT!U18+'OCT '!U18+NOV!U18+DIC!U18</f>
        <v>2</v>
      </c>
      <c r="V18" s="18">
        <f>+ENE!V18+FEB!V18+MAR!V18+ABR!V18+MAY!V18+JUN!V18+'JUL '!V18+AGO!V18+SEPT!V18+'OCT '!V18+NOV!V18+DIC!V18</f>
        <v>3</v>
      </c>
      <c r="W18" s="18">
        <f>+ENE!W18+FEB!W18+MAR!W18+ABR!W18+MAY!W18+JUN!W18+'JUL '!W18+AGO!W18+SEPT!W18+'OCT '!W18+NOV!W18+DIC!W18</f>
        <v>5</v>
      </c>
      <c r="X18" s="18">
        <f>+ENE!X18+FEB!X18+MAR!X18+ABR!X18+MAY!X18+JUN!X18+'JUL '!X18+AGO!X18+SEPT!X18+'OCT '!X18+NOV!X18+DIC!X18</f>
        <v>0</v>
      </c>
      <c r="Y18" s="18">
        <f>+ENE!Y18+FEB!Y18+MAR!Y18+ABR!Y18+MAY!Y18+JUN!Y18+'JUL '!Y18+AGO!Y18+SEPT!Y18+'OCT '!Y18+NOV!Y18+DIC!Y18</f>
        <v>9</v>
      </c>
      <c r="Z18" s="18">
        <f>+ENE!Z18+FEB!Z18+MAR!Z18+ABR!Z18+MAY!Z18+JUN!Z18+'JUL '!Z18+AGO!Z18+SEPT!Z18+'OCT '!Z18+NOV!Z18+DIC!Z18</f>
        <v>45</v>
      </c>
      <c r="AA18" s="18">
        <f>+ENE!AA18+FEB!AA18+MAR!AA18+ABR!AA18+MAY!AA18+JUN!AA18+'JUL '!AA18+AGO!AA18+SEPT!AA18+'OCT '!AA18+NOV!AA18+DIC!AA18</f>
        <v>2</v>
      </c>
      <c r="AB18" s="18">
        <f>+ENE!AB18+FEB!AB18+MAR!AB18+ABR!AB18+MAY!AB18+JUN!AB18+'JUL '!AB18+AGO!AB18+SEPT!AB18+'OCT '!AB18+NOV!AB18+DIC!AB18</f>
        <v>4</v>
      </c>
      <c r="AC18" s="59">
        <f>+ENE!AC18+FEB!AC18+MAR!AC18+ABR!AC18+MAY!AC18+JUN!AC18+'JUL '!AC18+AGO!AC18+SEPT!AC18+'OCT '!AC18+NOV!AC18+DIC!AC18</f>
        <v>10</v>
      </c>
      <c r="AD18" s="101">
        <f t="shared" si="3"/>
        <v>1375</v>
      </c>
    </row>
    <row r="19" spans="1:30" ht="13.5">
      <c r="A19" s="144"/>
      <c r="B19" s="254"/>
      <c r="C19" s="150"/>
      <c r="D19" s="42" t="s">
        <v>34</v>
      </c>
      <c r="E19" s="58">
        <f>+ENE!E19+FEB!E19+MAR!E19+ABR!E19+MAY!E19+JUN!E19+'JUL '!E19+AGO!E19+SEPT!E19+'OCT '!E19+NOV!E19+DIC!E19</f>
        <v>1558</v>
      </c>
      <c r="F19" s="18">
        <f>+ENE!F19+FEB!F19+MAR!F19+ABR!F19+MAY!F19+JUN!F19+'JUL '!F19+AGO!F19+SEPT!F19+'OCT '!F19+NOV!F19+DIC!F19</f>
        <v>1669</v>
      </c>
      <c r="G19" s="18">
        <f>+ENE!G19+FEB!G19+MAR!G19+ABR!G19+MAY!G19+JUN!G19+'JUL '!G19+AGO!G19+SEPT!G19+'OCT '!G19+NOV!G19+DIC!G19</f>
        <v>9643</v>
      </c>
      <c r="H19" s="18">
        <f>+ENE!H19+FEB!H19+MAR!H19+ABR!H19+MAY!H19+JUN!H19+'JUL '!H19+AGO!H19+SEPT!H19+'OCT '!H19+NOV!H19+DIC!H19</f>
        <v>9023.8</v>
      </c>
      <c r="I19" s="18">
        <f>+ENE!I19+FEB!I19+MAR!I19+ABR!I19+MAY!I19+JUN!I19+'JUL '!I19+AGO!I19+SEPT!I19+'OCT '!I19+NOV!I19+DIC!I19</f>
        <v>0</v>
      </c>
      <c r="J19" s="18">
        <f>+ENE!J19+FEB!J19+MAR!J19+ABR!J19+MAY!J19+JUN!J19+'JUL '!J19+AGO!J19+SEPT!J19+'OCT '!J19+NOV!J19+DIC!J19</f>
        <v>1241</v>
      </c>
      <c r="K19" s="18">
        <f>+ENE!K19+FEB!K19+MAR!K19+ABR!K19+MAY!K19+JUN!K19+'JUL '!K19+AGO!K19+SEPT!K19+'OCT '!K19+NOV!K19+DIC!K19</f>
        <v>2892</v>
      </c>
      <c r="L19" s="18">
        <f>+ENE!L19+FEB!L19+MAR!L19+ABR!L19+MAY!L19+JUN!L19+'JUL '!L19+AGO!L19+SEPT!L19+'OCT '!L19+NOV!L19+DIC!L19</f>
        <v>21348</v>
      </c>
      <c r="M19" s="18">
        <f>+ENE!M19+FEB!M19+MAR!M19+ABR!M19+MAY!M19+JUN!M19+'JUL '!M19+AGO!M19+SEPT!M19+'OCT '!M19+NOV!M19+DIC!M19</f>
        <v>12075</v>
      </c>
      <c r="N19" s="18">
        <f>+ENE!N19+FEB!N19+MAR!N19+ABR!N19+MAY!N19+JUN!N19+'JUL '!N19+AGO!N19+SEPT!N19+'OCT '!N19+NOV!N19+DIC!N19</f>
        <v>77673</v>
      </c>
      <c r="O19" s="18">
        <f>+ENE!O19+FEB!O19+MAR!O19+ABR!O19+MAY!O19+JUN!O19+'JUL '!O19+AGO!O19+SEPT!O19+'OCT '!O19+NOV!O19+DIC!O19</f>
        <v>76</v>
      </c>
      <c r="P19" s="18">
        <f>+ENE!P19+FEB!P19+MAR!P19+ABR!P19+MAY!P19+JUN!P19+'JUL '!P19+AGO!P19+SEPT!P19+'OCT '!P19+NOV!P19+DIC!P19</f>
        <v>1977</v>
      </c>
      <c r="Q19" s="18">
        <f>+ENE!Q19+FEB!Q19+MAR!Q19+ABR!Q19+MAY!Q19+JUN!Q19+'JUL '!Q19+AGO!Q19+SEPT!Q19+'OCT '!Q19+NOV!Q19+DIC!Q19</f>
        <v>1440</v>
      </c>
      <c r="R19" s="18">
        <f>+ENE!R19+FEB!R19+MAR!R19+ABR!R19+MAY!R19+JUN!R19+'JUL '!R19+AGO!R19+SEPT!R19+'OCT '!R19+NOV!R19+DIC!R19</f>
        <v>1534</v>
      </c>
      <c r="S19" s="18">
        <f>+ENE!S19+FEB!S19+MAR!S19+ABR!S19+MAY!S19+JUN!S19+'JUL '!S19+AGO!S19+SEPT!S19+'OCT '!S19+NOV!S19+DIC!S19</f>
        <v>0</v>
      </c>
      <c r="T19" s="18">
        <f>+ENE!T19+FEB!T19+MAR!T19+ABR!T19+MAY!T19+JUN!T19+'JUL '!T19+AGO!T19+SEPT!T19+'OCT '!T19+NOV!T19+DIC!T19</f>
        <v>0</v>
      </c>
      <c r="U19" s="18">
        <f>+ENE!U19+FEB!U19+MAR!U19+ABR!U19+MAY!U19+JUN!U19+'JUL '!U19+AGO!U19+SEPT!U19+'OCT '!U19+NOV!U19+DIC!U19</f>
        <v>1635</v>
      </c>
      <c r="V19" s="18">
        <f>+ENE!V19+FEB!V19+MAR!V19+ABR!V19+MAY!V19+JUN!V19+'JUL '!V19+AGO!V19+SEPT!V19+'OCT '!V19+NOV!V19+DIC!V19</f>
        <v>338.2</v>
      </c>
      <c r="W19" s="18">
        <f>+ENE!W19+FEB!W19+MAR!W19+ABR!W19+MAY!W19+JUN!W19+'JUL '!W19+AGO!W19+SEPT!W19+'OCT '!W19+NOV!W19+DIC!W19</f>
        <v>466.4</v>
      </c>
      <c r="X19" s="18">
        <f>+ENE!X19+FEB!X19+MAR!X19+ABR!X19+MAY!X19+JUN!X19+'JUL '!X19+AGO!X19+SEPT!X19+'OCT '!X19+NOV!X19+DIC!X19</f>
        <v>0</v>
      </c>
      <c r="Y19" s="18">
        <f>+ENE!Y19+FEB!Y19+MAR!Y19+ABR!Y19+MAY!Y19+JUN!Y19+'JUL '!Y19+AGO!Y19+SEPT!Y19+'OCT '!Y19+NOV!Y19+DIC!Y19</f>
        <v>875</v>
      </c>
      <c r="Z19" s="18">
        <f>+ENE!Z19+FEB!Z19+MAR!Z19+ABR!Z19+MAY!Z19+JUN!Z19+'JUL '!Z19+AGO!Z19+SEPT!Z19+'OCT '!Z19+NOV!Z19+DIC!Z19</f>
        <v>4373</v>
      </c>
      <c r="AA19" s="18">
        <f>+ENE!AA19+FEB!AA19+MAR!AA19+ABR!AA19+MAY!AA19+JUN!AA19+'JUL '!AA19+AGO!AA19+SEPT!AA19+'OCT '!AA19+NOV!AA19+DIC!AA19</f>
        <v>54</v>
      </c>
      <c r="AB19" s="18">
        <f>+ENE!AB19+FEB!AB19+MAR!AB19+ABR!AB19+MAY!AB19+JUN!AB19+'JUL '!AB19+AGO!AB19+SEPT!AB19+'OCT '!AB19+NOV!AB19+DIC!AB19</f>
        <v>129</v>
      </c>
      <c r="AC19" s="59">
        <f>+ENE!AC19+FEB!AC19+MAR!AC19+ABR!AC19+MAY!AC19+JUN!AC19+'JUL '!AC19+AGO!AC19+SEPT!AC19+'OCT '!AC19+NOV!AC19+DIC!AC19</f>
        <v>755</v>
      </c>
      <c r="AD19" s="101">
        <f t="shared" si="3"/>
        <v>150775.4</v>
      </c>
    </row>
    <row r="20" spans="1:30" ht="13.5">
      <c r="A20" s="145">
        <v>12</v>
      </c>
      <c r="B20" s="254"/>
      <c r="C20" s="123" t="s">
        <v>28</v>
      </c>
      <c r="D20" s="42" t="s">
        <v>33</v>
      </c>
      <c r="E20" s="58">
        <f>+ENE!E20+FEB!E20+MAR!E20+ABR!E20+MAY!E20+JUN!E20+'JUL '!E20+AGO!E20+SEPT!E20+'OCT '!E20+NOV!E20+DIC!E20</f>
        <v>18</v>
      </c>
      <c r="F20" s="18">
        <f>+ENE!F20+FEB!F20+MAR!F20+ABR!F20+MAY!F20+JUN!F20+'JUL '!F20+AGO!F20+SEPT!F20+'OCT '!F20+NOV!F20+DIC!F20</f>
        <v>57</v>
      </c>
      <c r="G20" s="18">
        <f>+ENE!G20+FEB!G20+MAR!G20+ABR!G20+MAY!G20+JUN!G20+'JUL '!G20+AGO!G20+SEPT!G20+'OCT '!G20+NOV!G20+DIC!G20</f>
        <v>144</v>
      </c>
      <c r="H20" s="18">
        <f>+ENE!H20+FEB!H20+MAR!H20+ABR!H20+MAY!H20+JUN!H20+'JUL '!H20+AGO!H20+SEPT!H20+'OCT '!H20+NOV!H20+DIC!H20</f>
        <v>326</v>
      </c>
      <c r="I20" s="18">
        <f>+ENE!I20+FEB!I20+MAR!I20+ABR!I20+MAY!I20+JUN!I20+'JUL '!I20+AGO!I20+SEPT!I20+'OCT '!I20+NOV!I20+DIC!I20</f>
        <v>0</v>
      </c>
      <c r="J20" s="18">
        <f>+ENE!J20+FEB!J20+MAR!J20+ABR!J20+MAY!J20+JUN!J20+'JUL '!J20+AGO!J20+SEPT!J20+'OCT '!J20+NOV!J20+DIC!J20</f>
        <v>46</v>
      </c>
      <c r="K20" s="18">
        <f>+ENE!K20+FEB!K20+MAR!K20+ABR!K20+MAY!K20+JUN!K20+'JUL '!K20+AGO!K20+SEPT!K20+'OCT '!K20+NOV!K20+DIC!K20</f>
        <v>24</v>
      </c>
      <c r="L20" s="18">
        <f>+ENE!L20+FEB!L20+MAR!L20+ABR!L20+MAY!L20+JUN!L20+'JUL '!L20+AGO!L20+SEPT!L20+'OCT '!L20+NOV!L20+DIC!L20</f>
        <v>235</v>
      </c>
      <c r="M20" s="18">
        <f>+ENE!M20+FEB!M20+MAR!M20+ABR!M20+MAY!M20+JUN!M20+'JUL '!M20+AGO!M20+SEPT!M20+'OCT '!M20+NOV!M20+DIC!M20</f>
        <v>224</v>
      </c>
      <c r="N20" s="18">
        <f>+ENE!N20+FEB!N20+MAR!N20+ABR!N20+MAY!N20+JUN!N20+'JUL '!N20+AGO!N20+SEPT!N20+'OCT '!N20+NOV!N20+DIC!N20</f>
        <v>408</v>
      </c>
      <c r="O20" s="18">
        <f>+ENE!O20+FEB!O20+MAR!O20+ABR!O20+MAY!O20+JUN!O20+'JUL '!O20+AGO!O20+SEPT!O20+'OCT '!O20+NOV!O20+DIC!O20</f>
        <v>39</v>
      </c>
      <c r="P20" s="18">
        <f>+ENE!P20+FEB!P20+MAR!P20+ABR!P20+MAY!P20+JUN!P20+'JUL '!P20+AGO!P20+SEPT!P20+'OCT '!P20+NOV!P20+DIC!P20</f>
        <v>20</v>
      </c>
      <c r="Q20" s="18">
        <f>+ENE!Q20+FEB!Q20+MAR!Q20+ABR!Q20+MAY!Q20+JUN!Q20+'JUL '!Q20+AGO!Q20+SEPT!Q20+'OCT '!Q20+NOV!Q20+DIC!Q20</f>
        <v>6</v>
      </c>
      <c r="R20" s="18">
        <f>+ENE!R20+FEB!R20+MAR!R20+ABR!R20+MAY!R20+JUN!R20+'JUL '!R20+AGO!R20+SEPT!R20+'OCT '!R20+NOV!R20+DIC!R20</f>
        <v>60</v>
      </c>
      <c r="S20" s="18">
        <f>+ENE!S20+FEB!S20+MAR!S20+ABR!S20+MAY!S20+JUN!S20+'JUL '!S20+AGO!S20+SEPT!S20+'OCT '!S20+NOV!S20+DIC!S20</f>
        <v>25</v>
      </c>
      <c r="T20" s="18">
        <f>+ENE!T20+FEB!T20+MAR!T20+ABR!T20+MAY!T20+JUN!T20+'JUL '!T20+AGO!T20+SEPT!T20+'OCT '!T20+NOV!T20+DIC!T20</f>
        <v>119</v>
      </c>
      <c r="U20" s="18">
        <f>+ENE!U20+FEB!U20+MAR!U20+ABR!U20+MAY!U20+JUN!U20+'JUL '!U20+AGO!U20+SEPT!U20+'OCT '!U20+NOV!U20+DIC!U20</f>
        <v>25</v>
      </c>
      <c r="V20" s="18">
        <f>+ENE!V20+FEB!V20+MAR!V20+ABR!V20+MAY!V20+JUN!V20+'JUL '!V20+AGO!V20+SEPT!V20+'OCT '!V20+NOV!V20+DIC!V20</f>
        <v>39</v>
      </c>
      <c r="W20" s="18">
        <f>+ENE!W20+FEB!W20+MAR!W20+ABR!W20+MAY!W20+JUN!W20+'JUL '!W20+AGO!W20+SEPT!W20+'OCT '!W20+NOV!W20+DIC!W20</f>
        <v>14</v>
      </c>
      <c r="X20" s="18">
        <f>+ENE!X20+FEB!X20+MAR!X20+ABR!X20+MAY!X20+JUN!X20+'JUL '!X20+AGO!X20+SEPT!X20+'OCT '!X20+NOV!X20+DIC!X20</f>
        <v>22</v>
      </c>
      <c r="Y20" s="18">
        <f>+ENE!Y20+FEB!Y20+MAR!Y20+ABR!Y20+MAY!Y20+JUN!Y20+'JUL '!Y20+AGO!Y20+SEPT!Y20+'OCT '!Y20+NOV!Y20+DIC!Y20</f>
        <v>44</v>
      </c>
      <c r="Z20" s="18">
        <f>+ENE!Z20+FEB!Z20+MAR!Z20+ABR!Z20+MAY!Z20+JUN!Z20+'JUL '!Z20+AGO!Z20+SEPT!Z20+'OCT '!Z20+NOV!Z20+DIC!Z20</f>
        <v>29</v>
      </c>
      <c r="AA20" s="18">
        <f>+ENE!AA20+FEB!AA20+MAR!AA20+ABR!AA20+MAY!AA20+JUN!AA20+'JUL '!AA20+AGO!AA20+SEPT!AA20+'OCT '!AA20+NOV!AA20+DIC!AA20</f>
        <v>10</v>
      </c>
      <c r="AB20" s="18">
        <f>+ENE!AB20+FEB!AB20+MAR!AB20+ABR!AB20+MAY!AB20+JUN!AB20+'JUL '!AB20+AGO!AB20+SEPT!AB20+'OCT '!AB20+NOV!AB20+DIC!AB20</f>
        <v>23</v>
      </c>
      <c r="AC20" s="59">
        <f>+ENE!AC20+FEB!AC20+MAR!AC20+ABR!AC20+MAY!AC20+JUN!AC20+'JUL '!AC20+AGO!AC20+SEPT!AC20+'OCT '!AC20+NOV!AC20+DIC!AC20</f>
        <v>19</v>
      </c>
      <c r="AD20" s="101">
        <f t="shared" si="3"/>
        <v>1976</v>
      </c>
    </row>
    <row r="21" spans="1:30" ht="14.25" thickBot="1">
      <c r="A21" s="146"/>
      <c r="B21" s="254"/>
      <c r="C21" s="151"/>
      <c r="D21" s="49" t="s">
        <v>34</v>
      </c>
      <c r="E21" s="54">
        <f>+ENE!E21+FEB!E21+MAR!E21+ABR!E21+MAY!E21+JUN!E21+'JUL '!E21+AGO!E21+SEPT!E21+'OCT '!E21+NOV!E21+DIC!E21</f>
        <v>521</v>
      </c>
      <c r="F21" s="50">
        <f>+ENE!F21+FEB!F21+MAR!F21+ABR!F21+MAY!F21+JUN!F21+'JUL '!F21+AGO!F21+SEPT!F21+'OCT '!F21+NOV!F21+DIC!F21</f>
        <v>2176</v>
      </c>
      <c r="G21" s="50">
        <f>+ENE!G21+FEB!G21+MAR!G21+ABR!G21+MAY!G21+JUN!G21+'JUL '!G21+AGO!G21+SEPT!G21+'OCT '!G21+NOV!G21+DIC!G21</f>
        <v>9327</v>
      </c>
      <c r="H21" s="50">
        <f>+ENE!H21+FEB!H21+MAR!H21+ABR!H21+MAY!H21+JUN!H21+'JUL '!H21+AGO!H21+SEPT!H21+'OCT '!H21+NOV!H21+DIC!H21</f>
        <v>9956.6</v>
      </c>
      <c r="I21" s="50">
        <f>+ENE!I21+FEB!I21+MAR!I21+ABR!I21+MAY!I21+JUN!I21+'JUL '!I21+AGO!I21+SEPT!I21+'OCT '!I21+NOV!I21+DIC!I21</f>
        <v>0</v>
      </c>
      <c r="J21" s="50">
        <f>+ENE!J21+FEB!J21+MAR!J21+ABR!J21+MAY!J21+JUN!J21+'JUL '!J21+AGO!J21+SEPT!J21+'OCT '!J21+NOV!J21+DIC!J21</f>
        <v>2104</v>
      </c>
      <c r="K21" s="50">
        <f>+ENE!K21+FEB!K21+MAR!K21+ABR!K21+MAY!K21+JUN!K21+'JUL '!K21+AGO!K21+SEPT!K21+'OCT '!K21+NOV!K21+DIC!K21</f>
        <v>1191</v>
      </c>
      <c r="L21" s="50">
        <f>+ENE!L21+FEB!L21+MAR!L21+ABR!L21+MAY!L21+JUN!L21+'JUL '!L21+AGO!L21+SEPT!L21+'OCT '!L21+NOV!L21+DIC!L21</f>
        <v>7782</v>
      </c>
      <c r="M21" s="50">
        <f>+ENE!M21+FEB!M21+MAR!M21+ABR!M21+MAY!M21+JUN!M21+'JUL '!M21+AGO!M21+SEPT!M21+'OCT '!M21+NOV!M21+DIC!M21</f>
        <v>15118</v>
      </c>
      <c r="N21" s="50">
        <f>+ENE!N21+FEB!N21+MAR!N21+ABR!N21+MAY!N21+JUN!N21+'JUL '!N21+AGO!N21+SEPT!N21+'OCT '!N21+NOV!N21+DIC!N21</f>
        <v>21707</v>
      </c>
      <c r="O21" s="50">
        <f>+ENE!O21+FEB!O21+MAR!O21+ABR!O21+MAY!O21+JUN!O21+'JUL '!O21+AGO!O21+SEPT!O21+'OCT '!O21+NOV!O21+DIC!O21</f>
        <v>1134</v>
      </c>
      <c r="P21" s="50">
        <f>+ENE!P21+FEB!P21+MAR!P21+ABR!P21+MAY!P21+JUN!P21+'JUL '!P21+AGO!P21+SEPT!P21+'OCT '!P21+NOV!P21+DIC!P21</f>
        <v>61557</v>
      </c>
      <c r="Q21" s="50">
        <f>+ENE!Q21+FEB!Q21+MAR!Q21+ABR!Q21+MAY!Q21+JUN!Q21+'JUL '!Q21+AGO!Q21+SEPT!Q21+'OCT '!Q21+NOV!Q21+DIC!Q21</f>
        <v>3300</v>
      </c>
      <c r="R21" s="50">
        <f>+ENE!R21+FEB!R21+MAR!R21+ABR!R21+MAY!R21+JUN!R21+'JUL '!R21+AGO!R21+SEPT!R21+'OCT '!R21+NOV!R21+DIC!R21</f>
        <v>1817</v>
      </c>
      <c r="S21" s="50">
        <f>+ENE!S21+FEB!S21+MAR!S21+ABR!S21+MAY!S21+JUN!S21+'JUL '!S21+AGO!S21+SEPT!S21+'OCT '!S21+NOV!S21+DIC!S21</f>
        <v>1093</v>
      </c>
      <c r="T21" s="50">
        <f>+ENE!T21+FEB!T21+MAR!T21+ABR!T21+MAY!T21+JUN!T21+'JUL '!T21+AGO!T21+SEPT!T21+'OCT '!T21+NOV!T21+DIC!T21</f>
        <v>4293</v>
      </c>
      <c r="U21" s="50">
        <f>+ENE!U21+FEB!U21+MAR!U21+ABR!U21+MAY!U21+JUN!U21+'JUL '!U21+AGO!U21+SEPT!U21+'OCT '!U21+NOV!U21+DIC!U21</f>
        <v>602.2</v>
      </c>
      <c r="V21" s="50">
        <f>+ENE!V21+FEB!V21+MAR!V21+ABR!V21+MAY!V21+JUN!V21+'JUL '!V21+AGO!V21+SEPT!V21+'OCT '!V21+NOV!V21+DIC!V21</f>
        <v>3432.7999999999997</v>
      </c>
      <c r="W21" s="50">
        <f>+ENE!W21+FEB!W21+MAR!W21+ABR!W21+MAY!W21+JUN!W21+'JUL '!W21+AGO!W21+SEPT!W21+'OCT '!W21+NOV!W21+DIC!W21</f>
        <v>1855</v>
      </c>
      <c r="X21" s="50">
        <f>+ENE!X21+FEB!X21+MAR!X21+ABR!X21+MAY!X21+JUN!X21+'JUL '!X21+AGO!X21+SEPT!X21+'OCT '!X21+NOV!X21+DIC!X21</f>
        <v>4319</v>
      </c>
      <c r="Y21" s="50">
        <f>+ENE!Y21+FEB!Y21+MAR!Y21+ABR!Y21+MAY!Y21+JUN!Y21+'JUL '!Y21+AGO!Y21+SEPT!Y21+'OCT '!Y21+NOV!Y21+DIC!Y21</f>
        <v>2242</v>
      </c>
      <c r="Z21" s="50">
        <f>+ENE!Z21+FEB!Z21+MAR!Z21+ABR!Z21+MAY!Z21+JUN!Z21+'JUL '!Z21+AGO!Z21+SEPT!Z21+'OCT '!Z21+NOV!Z21+DIC!Z21</f>
        <v>1288</v>
      </c>
      <c r="AA21" s="50">
        <f>+ENE!AA21+FEB!AA21+MAR!AA21+ABR!AA21+MAY!AA21+JUN!AA21+'JUL '!AA21+AGO!AA21+SEPT!AA21+'OCT '!AA21+NOV!AA21+DIC!AA21</f>
        <v>6656</v>
      </c>
      <c r="AB21" s="50">
        <f>+ENE!AB21+FEB!AB21+MAR!AB21+ABR!AB21+MAY!AB21+JUN!AB21+'JUL '!AB21+AGO!AB21+SEPT!AB21+'OCT '!AB21+NOV!AB21+DIC!AB21</f>
        <v>485</v>
      </c>
      <c r="AC21" s="55">
        <f>+ENE!AC21+FEB!AC21+MAR!AC21+ABR!AC21+MAY!AC21+JUN!AC21+'JUL '!AC21+AGO!AC21+SEPT!AC21+'OCT '!AC21+NOV!AC21+DIC!AC21</f>
        <v>1922</v>
      </c>
      <c r="AD21" s="102">
        <f t="shared" si="3"/>
        <v>165878.6</v>
      </c>
    </row>
    <row r="22" spans="1:30" ht="14.25" thickBot="1">
      <c r="A22" s="147">
        <v>13</v>
      </c>
      <c r="B22" s="254"/>
      <c r="C22" s="251" t="s">
        <v>36</v>
      </c>
      <c r="D22" s="252"/>
      <c r="E22" s="63">
        <f>+ENE!E22+FEB!E22+MAR!E22+ABR!E22+MAY!E22+JUN!E22+'JUL '!E22+AGO!E22+SEPT!E22+'OCT '!E22+NOV!E22+DIC!E22</f>
        <v>40</v>
      </c>
      <c r="F22" s="64">
        <f>+ENE!F22+FEB!F22+MAR!F22+ABR!F22+MAY!F22+JUN!F22+'JUL '!F22+AGO!F22+SEPT!F22+'OCT '!F22+NOV!F22+DIC!F22</f>
        <v>68</v>
      </c>
      <c r="G22" s="64">
        <f>+ENE!G22+FEB!G22+MAR!G22+ABR!G22+MAY!G22+JUN!G22+'JUL '!G22+AGO!G22+SEPT!G22+'OCT '!G22+NOV!G22+DIC!G22</f>
        <v>285</v>
      </c>
      <c r="H22" s="64">
        <f>+ENE!H22+FEB!H22+MAR!H22+ABR!H22+MAY!H22+JUN!H22+'JUL '!H22+AGO!H22+SEPT!H22+'OCT '!H22+NOV!H22+DIC!H22</f>
        <v>724</v>
      </c>
      <c r="I22" s="64">
        <f>+ENE!I22+FEB!I22+MAR!I22+ABR!I22+MAY!I22+JUN!I22+'JUL '!I22+AGO!I22+SEPT!I22+'OCT '!I22+NOV!I22+DIC!I22</f>
        <v>129</v>
      </c>
      <c r="J22" s="64">
        <f>+ENE!J22+FEB!J22+MAR!J22+ABR!J22+MAY!J22+JUN!J22+'JUL '!J22+AGO!J22+SEPT!J22+'OCT '!J22+NOV!J22+DIC!J22</f>
        <v>68</v>
      </c>
      <c r="K22" s="64">
        <f>+ENE!K22+FEB!K22+MAR!K22+ABR!K22+MAY!K22+JUN!K22+'JUL '!K22+AGO!K22+SEPT!K22+'OCT '!K22+NOV!K22+DIC!K22</f>
        <v>55</v>
      </c>
      <c r="L22" s="64">
        <f>+ENE!L22+FEB!L22+MAR!L22+ABR!L22+MAY!L22+JUN!L22+'JUL '!L22+AGO!L22+SEPT!L22+'OCT '!L22+NOV!L22+DIC!L22</f>
        <v>1139</v>
      </c>
      <c r="M22" s="64">
        <f>+ENE!M22+FEB!M22+MAR!M22+ABR!M22+MAY!M22+JUN!M22+'JUL '!M22+AGO!M22+SEPT!M22+'OCT '!M22+NOV!M22+DIC!M22</f>
        <v>289</v>
      </c>
      <c r="N22" s="64">
        <f>+ENE!N22+FEB!N22+MAR!N22+ABR!N22+MAY!N22+JUN!N22+'JUL '!N22+AGO!N22+SEPT!N22+'OCT '!N22+NOV!N22+DIC!N22</f>
        <v>2180</v>
      </c>
      <c r="O22" s="64">
        <f>+ENE!O22+FEB!O22+MAR!O22+ABR!O22+MAY!O22+JUN!O22+'JUL '!O22+AGO!O22+SEPT!O22+'OCT '!O22+NOV!O22+DIC!O22</f>
        <v>142</v>
      </c>
      <c r="P22" s="64">
        <f>+ENE!P22+FEB!P22+MAR!P22+ABR!P22+MAY!P22+JUN!P22+'JUL '!P22+AGO!P22+SEPT!P22+'OCT '!P22+NOV!P22+DIC!P22</f>
        <v>61</v>
      </c>
      <c r="Q22" s="64">
        <f>+ENE!Q22+FEB!Q22+MAR!Q22+ABR!Q22+MAY!Q22+JUN!Q22+'JUL '!Q22+AGO!Q22+SEPT!Q22+'OCT '!Q22+NOV!Q22+DIC!Q22</f>
        <v>8</v>
      </c>
      <c r="R22" s="64">
        <f>+ENE!R22+FEB!R22+MAR!R22+ABR!R22+MAY!R22+JUN!R22+'JUL '!R22+AGO!R22+SEPT!R22+'OCT '!R22+NOV!R22+DIC!R22</f>
        <v>138</v>
      </c>
      <c r="S22" s="64">
        <f>+ENE!S22+FEB!S22+MAR!S22+ABR!S22+MAY!S22+JUN!S22+'JUL '!S22+AGO!S22+SEPT!S22+'OCT '!S22+NOV!S22+DIC!S22</f>
        <v>25</v>
      </c>
      <c r="T22" s="64">
        <f>+ENE!T22+FEB!T22+MAR!T22+ABR!T22+MAY!T22+JUN!T22+'JUL '!T22+AGO!T22+SEPT!T22+'OCT '!T22+NOV!T22+DIC!T22</f>
        <v>150</v>
      </c>
      <c r="U22" s="64">
        <f>+ENE!U22+FEB!U22+MAR!U22+ABR!U22+MAY!U22+JUN!U22+'JUL '!U22+AGO!U22+SEPT!U22+'OCT '!U22+NOV!U22+DIC!U22</f>
        <v>32</v>
      </c>
      <c r="V22" s="64">
        <f>+ENE!V22+FEB!V22+MAR!V22+ABR!V22+MAY!V22+JUN!V22+'JUL '!V22+AGO!V22+SEPT!V22+'OCT '!V22+NOV!V22+DIC!V22</f>
        <v>46</v>
      </c>
      <c r="W22" s="64">
        <f>+ENE!W22+FEB!W22+MAR!W22+ABR!W22+MAY!W22+JUN!W22+'JUL '!W22+AGO!W22+SEPT!W22+'OCT '!W22+NOV!W22+DIC!W22</f>
        <v>24</v>
      </c>
      <c r="X22" s="64">
        <f>+ENE!X22+FEB!X22+MAR!X22+ABR!X22+MAY!X22+JUN!X22+'JUL '!X22+AGO!X22+SEPT!X22+'OCT '!X22+NOV!X22+DIC!X22</f>
        <v>24</v>
      </c>
      <c r="Y22" s="64">
        <f>+ENE!Y22+FEB!Y22+MAR!Y22+ABR!Y22+MAY!Y22+JUN!Y22+'JUL '!Y22+AGO!Y22+SEPT!Y22+'OCT '!Y22+NOV!Y22+DIC!Y22</f>
        <v>112</v>
      </c>
      <c r="Z22" s="64">
        <f>+ENE!Z22+FEB!Z22+MAR!Z22+ABR!Z22+MAY!Z22+JUN!Z22+'JUL '!Z22+AGO!Z22+SEPT!Z22+'OCT '!Z22+NOV!Z22+DIC!Z22</f>
        <v>201</v>
      </c>
      <c r="AA22" s="64">
        <f>+ENE!AA22+FEB!AA22+MAR!AA22+ABR!AA22+MAY!AA22+JUN!AA22+'JUL '!AA22+AGO!AA22+SEPT!AA22+'OCT '!AA22+NOV!AA22+DIC!AA22</f>
        <v>23</v>
      </c>
      <c r="AB22" s="64">
        <f>+ENE!AB22+FEB!AB22+MAR!AB22+ABR!AB22+MAY!AB22+JUN!AB22+'JUL '!AB22+AGO!AB22+SEPT!AB22+'OCT '!AB22+NOV!AB22+DIC!AB22</f>
        <v>35</v>
      </c>
      <c r="AC22" s="65">
        <f>+ENE!AC22+FEB!AC22+MAR!AC22+ABR!AC22+MAY!AC22+JUN!AC22+'JUL '!AC22+AGO!AC22+SEPT!AC22+'OCT '!AC22+NOV!AC22+DIC!AC22</f>
        <v>64</v>
      </c>
      <c r="AD22" s="104">
        <f aca="true" t="shared" si="4" ref="F22:AD23">AD14+AD16+AD18+AD20</f>
        <v>6062</v>
      </c>
    </row>
    <row r="23" spans="1:30" ht="14.25" thickBot="1">
      <c r="A23" s="148">
        <v>14</v>
      </c>
      <c r="B23" s="255"/>
      <c r="C23" s="256" t="s">
        <v>37</v>
      </c>
      <c r="D23" s="257"/>
      <c r="E23" s="81">
        <f>E15+E17+E19+E21</f>
        <v>2478</v>
      </c>
      <c r="F23" s="82">
        <f t="shared" si="4"/>
        <v>4000</v>
      </c>
      <c r="G23" s="82">
        <f t="shared" si="4"/>
        <v>22340</v>
      </c>
      <c r="H23" s="82">
        <f t="shared" si="4"/>
        <v>28995</v>
      </c>
      <c r="I23" s="82">
        <f t="shared" si="4"/>
        <v>8643</v>
      </c>
      <c r="J23" s="82">
        <f t="shared" si="4"/>
        <v>5636</v>
      </c>
      <c r="K23" s="82">
        <f t="shared" si="4"/>
        <v>4778.6</v>
      </c>
      <c r="L23" s="82">
        <f t="shared" si="4"/>
        <v>52296</v>
      </c>
      <c r="M23" s="82">
        <f t="shared" si="4"/>
        <v>28250</v>
      </c>
      <c r="N23" s="82">
        <f t="shared" si="4"/>
        <v>161533.6</v>
      </c>
      <c r="O23" s="82">
        <f t="shared" si="4"/>
        <v>6005.2</v>
      </c>
      <c r="P23" s="82">
        <f t="shared" si="4"/>
        <v>64504</v>
      </c>
      <c r="Q23" s="82">
        <f t="shared" si="4"/>
        <v>4800</v>
      </c>
      <c r="R23" s="82">
        <f t="shared" si="4"/>
        <v>3985</v>
      </c>
      <c r="S23" s="82">
        <f>S15+S17+S19+S21</f>
        <v>1093</v>
      </c>
      <c r="T23" s="82">
        <f t="shared" si="4"/>
        <v>5744</v>
      </c>
      <c r="U23" s="82">
        <f t="shared" si="4"/>
        <v>2512.2</v>
      </c>
      <c r="V23" s="82">
        <f t="shared" si="4"/>
        <v>3813.9999999999995</v>
      </c>
      <c r="W23" s="82">
        <f t="shared" si="4"/>
        <v>2643.4</v>
      </c>
      <c r="X23" s="82">
        <f t="shared" si="4"/>
        <v>4334</v>
      </c>
      <c r="Y23" s="82">
        <f t="shared" si="4"/>
        <v>5882</v>
      </c>
      <c r="Z23" s="82">
        <f t="shared" si="4"/>
        <v>9953</v>
      </c>
      <c r="AA23" s="82">
        <f t="shared" si="4"/>
        <v>7614</v>
      </c>
      <c r="AB23" s="82">
        <f t="shared" si="4"/>
        <v>1344</v>
      </c>
      <c r="AC23" s="83">
        <f t="shared" si="4"/>
        <v>4801</v>
      </c>
      <c r="AD23" s="103">
        <f t="shared" si="4"/>
        <v>447979</v>
      </c>
    </row>
    <row r="24" spans="1:30" ht="13.5">
      <c r="A24" s="45">
        <v>16</v>
      </c>
      <c r="B24" s="221" t="s">
        <v>39</v>
      </c>
      <c r="C24" s="222"/>
      <c r="D24" s="222"/>
      <c r="E24" s="60">
        <f>E7-E12</f>
        <v>161</v>
      </c>
      <c r="F24" s="11">
        <f aca="true" t="shared" si="5" ref="F24:AD24">F7-F12</f>
        <v>391</v>
      </c>
      <c r="G24" s="11">
        <f t="shared" si="5"/>
        <v>513</v>
      </c>
      <c r="H24" s="11">
        <f t="shared" si="5"/>
        <v>2929</v>
      </c>
      <c r="I24" s="11">
        <f t="shared" si="5"/>
        <v>357</v>
      </c>
      <c r="J24" s="11">
        <f t="shared" si="5"/>
        <v>143</v>
      </c>
      <c r="K24" s="11">
        <f t="shared" si="5"/>
        <v>168</v>
      </c>
      <c r="L24" s="11">
        <f t="shared" si="5"/>
        <v>3067</v>
      </c>
      <c r="M24" s="11">
        <f t="shared" si="5"/>
        <v>1524</v>
      </c>
      <c r="N24" s="11">
        <f t="shared" si="5"/>
        <v>10172</v>
      </c>
      <c r="O24" s="11">
        <f t="shared" si="5"/>
        <v>956</v>
      </c>
      <c r="P24" s="11">
        <f t="shared" si="5"/>
        <v>2139</v>
      </c>
      <c r="Q24" s="11">
        <f t="shared" si="5"/>
        <v>57</v>
      </c>
      <c r="R24" s="11">
        <f>R7-R12</f>
        <v>326</v>
      </c>
      <c r="S24" s="11">
        <f>S7-S12</f>
        <v>51</v>
      </c>
      <c r="T24" s="11">
        <f t="shared" si="5"/>
        <v>333</v>
      </c>
      <c r="U24" s="11">
        <f t="shared" si="5"/>
        <v>367</v>
      </c>
      <c r="V24" s="11">
        <f t="shared" si="5"/>
        <v>299</v>
      </c>
      <c r="W24" s="11">
        <f t="shared" si="5"/>
        <v>329</v>
      </c>
      <c r="X24" s="11">
        <f t="shared" si="5"/>
        <v>33</v>
      </c>
      <c r="Y24" s="11">
        <f t="shared" si="5"/>
        <v>709</v>
      </c>
      <c r="Z24" s="11">
        <f t="shared" si="5"/>
        <v>1173</v>
      </c>
      <c r="AA24" s="11">
        <f t="shared" si="5"/>
        <v>531</v>
      </c>
      <c r="AB24" s="11">
        <f t="shared" si="5"/>
        <v>157</v>
      </c>
      <c r="AC24" s="61">
        <f t="shared" si="5"/>
        <v>363</v>
      </c>
      <c r="AD24" s="98">
        <f t="shared" si="5"/>
        <v>27248</v>
      </c>
    </row>
    <row r="25" spans="1:30" ht="14.25" thickBot="1">
      <c r="A25" s="48">
        <v>17</v>
      </c>
      <c r="B25" s="215" t="s">
        <v>40</v>
      </c>
      <c r="C25" s="216"/>
      <c r="D25" s="216"/>
      <c r="E25" s="84">
        <f>E24-E22-E13</f>
        <v>120</v>
      </c>
      <c r="F25" s="85">
        <f aca="true" t="shared" si="6" ref="F25:AD25">F24-F22-F13</f>
        <v>322</v>
      </c>
      <c r="G25" s="85">
        <f t="shared" si="6"/>
        <v>224</v>
      </c>
      <c r="H25" s="85">
        <f t="shared" si="6"/>
        <v>2195</v>
      </c>
      <c r="I25" s="85">
        <f t="shared" si="6"/>
        <v>228</v>
      </c>
      <c r="J25" s="85">
        <f t="shared" si="6"/>
        <v>75</v>
      </c>
      <c r="K25" s="85">
        <f t="shared" si="6"/>
        <v>113</v>
      </c>
      <c r="L25" s="85">
        <f t="shared" si="6"/>
        <v>1918</v>
      </c>
      <c r="M25" s="85">
        <f t="shared" si="6"/>
        <v>1233</v>
      </c>
      <c r="N25" s="85">
        <f t="shared" si="6"/>
        <v>7986</v>
      </c>
      <c r="O25" s="85">
        <f t="shared" si="6"/>
        <v>814</v>
      </c>
      <c r="P25" s="85">
        <f t="shared" si="6"/>
        <v>2063</v>
      </c>
      <c r="Q25" s="85">
        <f t="shared" si="6"/>
        <v>49</v>
      </c>
      <c r="R25" s="85">
        <f t="shared" si="6"/>
        <v>185</v>
      </c>
      <c r="S25" s="85">
        <f t="shared" si="6"/>
        <v>22</v>
      </c>
      <c r="T25" s="85">
        <f t="shared" si="6"/>
        <v>183</v>
      </c>
      <c r="U25" s="85">
        <f t="shared" si="6"/>
        <v>335</v>
      </c>
      <c r="V25" s="85">
        <f t="shared" si="6"/>
        <v>252</v>
      </c>
      <c r="W25" s="85">
        <f t="shared" si="6"/>
        <v>304</v>
      </c>
      <c r="X25" s="85">
        <f t="shared" si="6"/>
        <v>3</v>
      </c>
      <c r="Y25" s="85">
        <f t="shared" si="6"/>
        <v>579</v>
      </c>
      <c r="Z25" s="85">
        <f t="shared" si="6"/>
        <v>968</v>
      </c>
      <c r="AA25" s="85">
        <f t="shared" si="6"/>
        <v>505</v>
      </c>
      <c r="AB25" s="85">
        <f t="shared" si="6"/>
        <v>122</v>
      </c>
      <c r="AC25" s="86">
        <f t="shared" si="6"/>
        <v>299</v>
      </c>
      <c r="AD25" s="102">
        <f t="shared" si="6"/>
        <v>21097</v>
      </c>
    </row>
    <row r="26" spans="1:30" ht="14.25" thickBot="1">
      <c r="A26" s="92">
        <v>18</v>
      </c>
      <c r="B26" s="217" t="s">
        <v>41</v>
      </c>
      <c r="C26" s="218"/>
      <c r="D26" s="218"/>
      <c r="E26" s="93">
        <f>IF(E24=0,0,(E25+E16)/E24)</f>
        <v>0.84472049689441</v>
      </c>
      <c r="F26" s="94">
        <f aca="true" t="shared" si="7" ref="F26:AD26">IF(F24=0,0,(F25+F16)/F24)</f>
        <v>0.8388746803069054</v>
      </c>
      <c r="G26" s="94">
        <f t="shared" si="7"/>
        <v>0.6042884990253411</v>
      </c>
      <c r="H26" s="94">
        <f t="shared" si="7"/>
        <v>0.8453397063844316</v>
      </c>
      <c r="I26" s="94">
        <f t="shared" si="7"/>
        <v>1</v>
      </c>
      <c r="J26" s="94">
        <f t="shared" si="7"/>
        <v>0.6363636363636364</v>
      </c>
      <c r="K26" s="94">
        <f t="shared" si="7"/>
        <v>0.8214285714285714</v>
      </c>
      <c r="L26" s="94">
        <f t="shared" si="7"/>
        <v>0.8206716661232475</v>
      </c>
      <c r="M26" s="94">
        <f t="shared" si="7"/>
        <v>0.8208661417322834</v>
      </c>
      <c r="N26" s="94">
        <f t="shared" si="7"/>
        <v>0.8911718442784113</v>
      </c>
      <c r="O26" s="94">
        <f t="shared" si="7"/>
        <v>0.9581589958158996</v>
      </c>
      <c r="P26" s="94">
        <f t="shared" si="7"/>
        <v>0.9700794763908368</v>
      </c>
      <c r="Q26" s="94">
        <f t="shared" si="7"/>
        <v>0.8771929824561403</v>
      </c>
      <c r="R26" s="94">
        <f t="shared" si="7"/>
        <v>0.7024539877300614</v>
      </c>
      <c r="S26" s="94">
        <f>IF(S24=0,0,(S25+S16)/S24)</f>
        <v>0.43137254901960786</v>
      </c>
      <c r="T26" s="94">
        <f t="shared" si="7"/>
        <v>0.6426426426426426</v>
      </c>
      <c r="U26" s="94">
        <f t="shared" si="7"/>
        <v>0.9264305177111717</v>
      </c>
      <c r="V26" s="94">
        <f t="shared" si="7"/>
        <v>0.8494983277591973</v>
      </c>
      <c r="W26" s="94">
        <f t="shared" si="7"/>
        <v>0.939209726443769</v>
      </c>
      <c r="X26" s="94">
        <f t="shared" si="7"/>
        <v>0.15151515151515152</v>
      </c>
      <c r="Y26" s="94">
        <f t="shared" si="7"/>
        <v>0.8998589562764457</v>
      </c>
      <c r="Z26" s="94">
        <f t="shared" si="7"/>
        <v>0.9335038363171355</v>
      </c>
      <c r="AA26" s="94">
        <f t="shared" si="7"/>
        <v>0.9717514124293786</v>
      </c>
      <c r="AB26" s="94">
        <f t="shared" si="7"/>
        <v>0.8280254777070064</v>
      </c>
      <c r="AC26" s="95">
        <f t="shared" si="7"/>
        <v>0.9201101928374655</v>
      </c>
      <c r="AD26" s="96">
        <f t="shared" si="7"/>
        <v>0.8733118027011156</v>
      </c>
    </row>
    <row r="27" spans="1:30" ht="14.25" thickBot="1">
      <c r="A27" s="87">
        <v>19</v>
      </c>
      <c r="B27" s="219" t="s">
        <v>42</v>
      </c>
      <c r="C27" s="220"/>
      <c r="D27" s="220"/>
      <c r="E27" s="88">
        <f>+E23/E22</f>
        <v>61.95</v>
      </c>
      <c r="F27" s="89">
        <f aca="true" t="shared" si="8" ref="F27:AD27">+F23/F22</f>
        <v>58.8235294117647</v>
      </c>
      <c r="G27" s="89">
        <f t="shared" si="8"/>
        <v>78.3859649122807</v>
      </c>
      <c r="H27" s="89">
        <f t="shared" si="8"/>
        <v>40.04834254143646</v>
      </c>
      <c r="I27" s="89">
        <f t="shared" si="8"/>
        <v>67</v>
      </c>
      <c r="J27" s="89">
        <f t="shared" si="8"/>
        <v>82.88235294117646</v>
      </c>
      <c r="K27" s="89">
        <f t="shared" si="8"/>
        <v>86.88363636363637</v>
      </c>
      <c r="L27" s="89">
        <f t="shared" si="8"/>
        <v>45.91395961369623</v>
      </c>
      <c r="M27" s="89">
        <f t="shared" si="8"/>
        <v>97.75086505190312</v>
      </c>
      <c r="N27" s="89">
        <f t="shared" si="8"/>
        <v>74.09798165137614</v>
      </c>
      <c r="O27" s="89">
        <f t="shared" si="8"/>
        <v>42.29014084507042</v>
      </c>
      <c r="P27" s="89">
        <f t="shared" si="8"/>
        <v>1057.4426229508197</v>
      </c>
      <c r="Q27" s="89">
        <f t="shared" si="8"/>
        <v>600</v>
      </c>
      <c r="R27" s="89">
        <f t="shared" si="8"/>
        <v>28.8768115942029</v>
      </c>
      <c r="S27" s="89">
        <f>+S23/S22</f>
        <v>43.72</v>
      </c>
      <c r="T27" s="89">
        <f t="shared" si="8"/>
        <v>38.29333333333334</v>
      </c>
      <c r="U27" s="89">
        <f t="shared" si="8"/>
        <v>78.50625</v>
      </c>
      <c r="V27" s="89">
        <f t="shared" si="8"/>
        <v>82.91304347826086</v>
      </c>
      <c r="W27" s="89">
        <f t="shared" si="8"/>
        <v>110.14166666666667</v>
      </c>
      <c r="X27" s="89">
        <f t="shared" si="8"/>
        <v>180.58333333333334</v>
      </c>
      <c r="Y27" s="89">
        <f t="shared" si="8"/>
        <v>52.517857142857146</v>
      </c>
      <c r="Z27" s="89">
        <f t="shared" si="8"/>
        <v>49.517412935323385</v>
      </c>
      <c r="AA27" s="89">
        <f t="shared" si="8"/>
        <v>331.04347826086956</v>
      </c>
      <c r="AB27" s="89">
        <f t="shared" si="8"/>
        <v>38.4</v>
      </c>
      <c r="AC27" s="90">
        <f t="shared" si="8"/>
        <v>75.015625</v>
      </c>
      <c r="AD27" s="91">
        <f t="shared" si="8"/>
        <v>73.89953810623557</v>
      </c>
    </row>
  </sheetData>
  <mergeCells count="21">
    <mergeCell ref="B25:D25"/>
    <mergeCell ref="B26:D26"/>
    <mergeCell ref="B27:D27"/>
    <mergeCell ref="B14:B23"/>
    <mergeCell ref="C22:D22"/>
    <mergeCell ref="C23:D23"/>
    <mergeCell ref="B24:D2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A1:AD1"/>
    <mergeCell ref="A2:AD2"/>
    <mergeCell ref="A3:AD3"/>
    <mergeCell ref="B4:D4"/>
  </mergeCells>
  <printOptions/>
  <pageMargins left="0" right="0" top="0.984251968503937" bottom="0.984251968503937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S4" sqref="S1:S16384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29.57421875" style="0" customWidth="1"/>
    <col min="5" max="6" width="5.28125" style="0" bestFit="1" customWidth="1"/>
    <col min="7" max="7" width="6.00390625" style="0" bestFit="1" customWidth="1"/>
    <col min="8" max="8" width="5.28125" style="0" bestFit="1" customWidth="1"/>
    <col min="9" max="9" width="6.28125" style="0" bestFit="1" customWidth="1"/>
    <col min="10" max="11" width="5.28125" style="0" bestFit="1" customWidth="1"/>
    <col min="12" max="13" width="6.00390625" style="0" bestFit="1" customWidth="1"/>
    <col min="14" max="14" width="7.00390625" style="0" bestFit="1" customWidth="1"/>
    <col min="15" max="16" width="5.28125" style="0" bestFit="1" customWidth="1"/>
    <col min="17" max="17" width="8.8515625" style="0" bestFit="1" customWidth="1"/>
    <col min="18" max="18" width="5.28125" style="0" customWidth="1"/>
    <col min="19" max="19" width="3.7109375" style="0" hidden="1" customWidth="1"/>
    <col min="20" max="20" width="5.28125" style="0" bestFit="1" customWidth="1"/>
    <col min="21" max="21" width="8.8515625" style="0" bestFit="1" customWidth="1"/>
    <col min="22" max="27" width="5.28125" style="0" bestFit="1" customWidth="1"/>
    <col min="28" max="28" width="6.28125" style="0" bestFit="1" customWidth="1"/>
    <col min="29" max="29" width="5.28125" style="0" bestFit="1" customWidth="1"/>
    <col min="30" max="30" width="7.00390625" style="0" bestFit="1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3" t="s">
        <v>51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 thickTop="1">
      <c r="A4" s="1" t="s">
        <v>0</v>
      </c>
      <c r="B4" s="204" t="s">
        <v>1</v>
      </c>
      <c r="C4" s="205"/>
      <c r="D4" s="206"/>
      <c r="E4" s="2" t="s">
        <v>20</v>
      </c>
      <c r="F4" s="2" t="s">
        <v>48</v>
      </c>
      <c r="G4" s="2" t="s">
        <v>3</v>
      </c>
      <c r="H4" s="2" t="s">
        <v>49</v>
      </c>
      <c r="I4" s="2" t="s">
        <v>2</v>
      </c>
      <c r="J4" s="2" t="s">
        <v>19</v>
      </c>
      <c r="K4" s="32" t="s">
        <v>50</v>
      </c>
      <c r="L4" s="2" t="s">
        <v>15</v>
      </c>
      <c r="M4" s="2" t="s">
        <v>4</v>
      </c>
      <c r="N4" s="2" t="s">
        <v>5</v>
      </c>
      <c r="O4" s="2" t="s">
        <v>7</v>
      </c>
      <c r="P4" s="2" t="s">
        <v>6</v>
      </c>
      <c r="Q4" s="3" t="s">
        <v>8</v>
      </c>
      <c r="R4" s="3" t="s">
        <v>9</v>
      </c>
      <c r="S4" s="3" t="s">
        <v>54</v>
      </c>
      <c r="T4" s="2" t="s">
        <v>10</v>
      </c>
      <c r="U4" s="2" t="s">
        <v>17</v>
      </c>
      <c r="V4" s="3" t="s">
        <v>11</v>
      </c>
      <c r="W4" s="3" t="s">
        <v>12</v>
      </c>
      <c r="X4" s="3" t="s">
        <v>13</v>
      </c>
      <c r="Y4" s="3" t="s">
        <v>14</v>
      </c>
      <c r="Z4" s="3" t="s">
        <v>46</v>
      </c>
      <c r="AA4" s="3" t="s">
        <v>18</v>
      </c>
      <c r="AB4" s="3" t="s">
        <v>16</v>
      </c>
      <c r="AC4" s="3" t="s">
        <v>47</v>
      </c>
      <c r="AD4" s="4" t="s">
        <v>21</v>
      </c>
    </row>
    <row r="5" spans="1:30" ht="14.25" thickTop="1">
      <c r="A5" s="5">
        <v>1</v>
      </c>
      <c r="B5" s="196" t="s">
        <v>22</v>
      </c>
      <c r="C5" s="197"/>
      <c r="D5" s="195"/>
      <c r="E5" s="6">
        <v>12</v>
      </c>
      <c r="F5" s="6">
        <v>60</v>
      </c>
      <c r="G5" s="7">
        <v>46</v>
      </c>
      <c r="H5" s="7">
        <v>140</v>
      </c>
      <c r="I5" s="6">
        <v>28</v>
      </c>
      <c r="J5" s="6">
        <v>12</v>
      </c>
      <c r="K5" s="6">
        <v>12</v>
      </c>
      <c r="L5" s="6">
        <v>212</v>
      </c>
      <c r="M5" s="6">
        <v>112</v>
      </c>
      <c r="N5" s="6">
        <v>760</v>
      </c>
      <c r="O5" s="6">
        <v>72</v>
      </c>
      <c r="P5" s="6">
        <v>214</v>
      </c>
      <c r="Q5" s="6">
        <v>4</v>
      </c>
      <c r="R5" s="6">
        <v>28</v>
      </c>
      <c r="S5" s="8"/>
      <c r="T5" s="8">
        <v>28</v>
      </c>
      <c r="U5" s="10">
        <v>28</v>
      </c>
      <c r="V5" s="11">
        <v>24</v>
      </c>
      <c r="W5" s="10">
        <v>28</v>
      </c>
      <c r="X5" s="11">
        <v>12</v>
      </c>
      <c r="Y5" s="11">
        <v>28</v>
      </c>
      <c r="Z5" s="11">
        <v>72</v>
      </c>
      <c r="AA5" s="11">
        <v>36</v>
      </c>
      <c r="AB5" s="11">
        <v>12</v>
      </c>
      <c r="AC5" s="12">
        <v>28</v>
      </c>
      <c r="AD5" s="13">
        <f>SUM(E5:AC5)</f>
        <v>2008</v>
      </c>
    </row>
    <row r="6" spans="1:30" ht="13.5">
      <c r="A6" s="14">
        <v>2</v>
      </c>
      <c r="B6" s="198" t="s">
        <v>23</v>
      </c>
      <c r="C6" s="200"/>
      <c r="D6" s="199"/>
      <c r="E6" s="15"/>
      <c r="F6" s="15">
        <v>1</v>
      </c>
      <c r="G6" s="16"/>
      <c r="H6" s="16"/>
      <c r="I6" s="15"/>
      <c r="J6" s="15"/>
      <c r="K6" s="15"/>
      <c r="L6" s="15">
        <v>6</v>
      </c>
      <c r="M6" s="15"/>
      <c r="N6" s="15"/>
      <c r="O6" s="15"/>
      <c r="P6" s="15"/>
      <c r="Q6" s="15"/>
      <c r="R6" s="15"/>
      <c r="S6" s="17"/>
      <c r="T6" s="17"/>
      <c r="U6" s="19"/>
      <c r="V6" s="15"/>
      <c r="W6" s="19"/>
      <c r="X6" s="15">
        <v>1</v>
      </c>
      <c r="Y6" s="15"/>
      <c r="Z6" s="15"/>
      <c r="AA6" s="15"/>
      <c r="AB6" s="15"/>
      <c r="AC6" s="17"/>
      <c r="AD6" s="13">
        <f>SUM(E6:AC6)</f>
        <v>8</v>
      </c>
    </row>
    <row r="7" spans="1:30" ht="13.5">
      <c r="A7" s="14">
        <v>15</v>
      </c>
      <c r="B7" s="198" t="s">
        <v>38</v>
      </c>
      <c r="C7" s="200"/>
      <c r="D7" s="199"/>
      <c r="E7" s="15">
        <f>SUM(E5:E6)</f>
        <v>12</v>
      </c>
      <c r="F7" s="15">
        <f aca="true" t="shared" si="0" ref="F7:AD7">SUM(F5:F6)</f>
        <v>61</v>
      </c>
      <c r="G7" s="15">
        <f t="shared" si="0"/>
        <v>46</v>
      </c>
      <c r="H7" s="15">
        <f t="shared" si="0"/>
        <v>140</v>
      </c>
      <c r="I7" s="15">
        <f t="shared" si="0"/>
        <v>28</v>
      </c>
      <c r="J7" s="15">
        <f t="shared" si="0"/>
        <v>12</v>
      </c>
      <c r="K7" s="15">
        <f t="shared" si="0"/>
        <v>12</v>
      </c>
      <c r="L7" s="15">
        <f t="shared" si="0"/>
        <v>218</v>
      </c>
      <c r="M7" s="15">
        <f t="shared" si="0"/>
        <v>112</v>
      </c>
      <c r="N7" s="15">
        <f t="shared" si="0"/>
        <v>760</v>
      </c>
      <c r="O7" s="15">
        <f t="shared" si="0"/>
        <v>72</v>
      </c>
      <c r="P7" s="15">
        <f t="shared" si="0"/>
        <v>214</v>
      </c>
      <c r="Q7" s="15">
        <f t="shared" si="0"/>
        <v>4</v>
      </c>
      <c r="R7" s="15">
        <f t="shared" si="0"/>
        <v>28</v>
      </c>
      <c r="S7" s="15"/>
      <c r="T7" s="15">
        <f t="shared" si="0"/>
        <v>28</v>
      </c>
      <c r="U7" s="15">
        <f t="shared" si="0"/>
        <v>28</v>
      </c>
      <c r="V7" s="15">
        <f t="shared" si="0"/>
        <v>24</v>
      </c>
      <c r="W7" s="15">
        <f t="shared" si="0"/>
        <v>28</v>
      </c>
      <c r="X7" s="15">
        <f t="shared" si="0"/>
        <v>13</v>
      </c>
      <c r="Y7" s="15">
        <f t="shared" si="0"/>
        <v>28</v>
      </c>
      <c r="Z7" s="15">
        <f t="shared" si="0"/>
        <v>72</v>
      </c>
      <c r="AA7" s="15">
        <f t="shared" si="0"/>
        <v>36</v>
      </c>
      <c r="AB7" s="15">
        <f t="shared" si="0"/>
        <v>12</v>
      </c>
      <c r="AC7" s="17">
        <f t="shared" si="0"/>
        <v>28</v>
      </c>
      <c r="AD7" s="25">
        <f t="shared" si="0"/>
        <v>2016</v>
      </c>
    </row>
    <row r="8" spans="1:30" ht="13.5">
      <c r="A8" s="14">
        <v>3</v>
      </c>
      <c r="B8" s="207" t="s">
        <v>24</v>
      </c>
      <c r="C8" s="198" t="s">
        <v>25</v>
      </c>
      <c r="D8" s="199"/>
      <c r="E8" s="20"/>
      <c r="F8" s="20"/>
      <c r="G8" s="21"/>
      <c r="H8" s="21">
        <v>1</v>
      </c>
      <c r="I8" s="20"/>
      <c r="J8" s="20"/>
      <c r="K8" s="15"/>
      <c r="L8" s="15"/>
      <c r="M8" s="15"/>
      <c r="N8" s="20"/>
      <c r="O8" s="20"/>
      <c r="P8" s="20"/>
      <c r="Q8" s="20"/>
      <c r="R8" s="20"/>
      <c r="S8" s="22"/>
      <c r="T8" s="22"/>
      <c r="U8" s="23"/>
      <c r="V8" s="20"/>
      <c r="W8" s="23"/>
      <c r="X8" s="20">
        <v>2</v>
      </c>
      <c r="Y8" s="20"/>
      <c r="Z8" s="20"/>
      <c r="AA8" s="20"/>
      <c r="AB8" s="20"/>
      <c r="AC8" s="22"/>
      <c r="AD8" s="13">
        <f>SUM(E8:AC8)</f>
        <v>3</v>
      </c>
    </row>
    <row r="9" spans="1:30" ht="13.5">
      <c r="A9" s="14">
        <v>4</v>
      </c>
      <c r="B9" s="208"/>
      <c r="C9" s="198" t="s">
        <v>26</v>
      </c>
      <c r="D9" s="199"/>
      <c r="E9" s="15"/>
      <c r="F9" s="20"/>
      <c r="G9" s="21"/>
      <c r="H9" s="21"/>
      <c r="I9" s="20"/>
      <c r="J9" s="20"/>
      <c r="K9" s="20"/>
      <c r="L9" s="15"/>
      <c r="M9" s="15"/>
      <c r="N9" s="20"/>
      <c r="O9" s="20"/>
      <c r="P9" s="20"/>
      <c r="Q9" s="20"/>
      <c r="R9" s="20"/>
      <c r="S9" s="22"/>
      <c r="T9" s="22"/>
      <c r="U9" s="23"/>
      <c r="V9" s="20"/>
      <c r="W9" s="23"/>
      <c r="X9" s="20"/>
      <c r="Y9" s="20"/>
      <c r="Z9" s="20"/>
      <c r="AA9" s="20"/>
      <c r="AB9" s="20"/>
      <c r="AC9" s="22"/>
      <c r="AD9" s="13">
        <f>SUM(E9:AC9)</f>
        <v>0</v>
      </c>
    </row>
    <row r="10" spans="1:30" ht="13.5">
      <c r="A10" s="14">
        <v>5</v>
      </c>
      <c r="B10" s="208"/>
      <c r="C10" s="198" t="s">
        <v>27</v>
      </c>
      <c r="D10" s="199"/>
      <c r="E10" s="15"/>
      <c r="F10" s="20"/>
      <c r="G10" s="21"/>
      <c r="H10" s="21"/>
      <c r="I10" s="20"/>
      <c r="J10" s="20"/>
      <c r="K10" s="20"/>
      <c r="L10" s="15"/>
      <c r="M10" s="15">
        <v>2</v>
      </c>
      <c r="N10" s="20">
        <v>1</v>
      </c>
      <c r="O10" s="20"/>
      <c r="P10" s="20">
        <v>1</v>
      </c>
      <c r="Q10" s="20"/>
      <c r="R10" s="20"/>
      <c r="S10" s="22"/>
      <c r="T10" s="22"/>
      <c r="U10" s="23"/>
      <c r="V10" s="20"/>
      <c r="W10" s="23"/>
      <c r="X10" s="20"/>
      <c r="Y10" s="20"/>
      <c r="Z10" s="20">
        <v>1</v>
      </c>
      <c r="AA10" s="20"/>
      <c r="AB10" s="20"/>
      <c r="AC10" s="22"/>
      <c r="AD10" s="13">
        <f>SUM(E10:AC10)</f>
        <v>5</v>
      </c>
    </row>
    <row r="11" spans="1:30" ht="13.5">
      <c r="A11" s="14">
        <v>6</v>
      </c>
      <c r="B11" s="208"/>
      <c r="C11" s="198" t="s">
        <v>28</v>
      </c>
      <c r="D11" s="199"/>
      <c r="E11" s="15">
        <v>1</v>
      </c>
      <c r="F11" s="20"/>
      <c r="G11" s="21">
        <v>1</v>
      </c>
      <c r="H11" s="21"/>
      <c r="I11" s="20"/>
      <c r="J11" s="20"/>
      <c r="K11" s="15"/>
      <c r="L11" s="20"/>
      <c r="M11" s="20"/>
      <c r="N11" s="20"/>
      <c r="O11" s="20"/>
      <c r="P11" s="20"/>
      <c r="Q11" s="20"/>
      <c r="R11" s="20"/>
      <c r="S11" s="22"/>
      <c r="T11" s="22"/>
      <c r="U11" s="23"/>
      <c r="V11" s="20"/>
      <c r="W11" s="23"/>
      <c r="X11" s="20">
        <v>1</v>
      </c>
      <c r="Y11" s="20"/>
      <c r="Z11" s="20"/>
      <c r="AA11" s="20"/>
      <c r="AB11" s="20"/>
      <c r="AC11" s="22"/>
      <c r="AD11" s="13">
        <f>SUM(E11:AC11)</f>
        <v>3</v>
      </c>
    </row>
    <row r="12" spans="1:30" ht="13.5">
      <c r="A12" s="14">
        <v>7</v>
      </c>
      <c r="B12" s="208"/>
      <c r="C12" s="198" t="s">
        <v>29</v>
      </c>
      <c r="D12" s="199"/>
      <c r="E12" s="16">
        <f>E8+E9</f>
        <v>0</v>
      </c>
      <c r="F12" s="16">
        <f aca="true" t="shared" si="1" ref="F12:AD12">F8+F9</f>
        <v>0</v>
      </c>
      <c r="G12" s="16">
        <f t="shared" si="1"/>
        <v>0</v>
      </c>
      <c r="H12" s="16">
        <f t="shared" si="1"/>
        <v>1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/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2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33">
        <f t="shared" si="1"/>
        <v>0</v>
      </c>
      <c r="AD12" s="36">
        <f t="shared" si="1"/>
        <v>3</v>
      </c>
    </row>
    <row r="13" spans="1:30" ht="13.5">
      <c r="A13" s="14">
        <v>8</v>
      </c>
      <c r="B13" s="209"/>
      <c r="C13" s="198" t="s">
        <v>30</v>
      </c>
      <c r="D13" s="199"/>
      <c r="E13" s="16">
        <f>E10+E11</f>
        <v>1</v>
      </c>
      <c r="F13" s="16">
        <f aca="true" t="shared" si="2" ref="F13:AD13">F10+F11</f>
        <v>0</v>
      </c>
      <c r="G13" s="16">
        <f t="shared" si="2"/>
        <v>1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2</v>
      </c>
      <c r="N13" s="16">
        <f t="shared" si="2"/>
        <v>1</v>
      </c>
      <c r="O13" s="16">
        <f t="shared" si="2"/>
        <v>0</v>
      </c>
      <c r="P13" s="16">
        <f t="shared" si="2"/>
        <v>1</v>
      </c>
      <c r="Q13" s="16">
        <f t="shared" si="2"/>
        <v>0</v>
      </c>
      <c r="R13" s="16">
        <f t="shared" si="2"/>
        <v>0</v>
      </c>
      <c r="S13" s="16"/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1</v>
      </c>
      <c r="Y13" s="16">
        <f t="shared" si="2"/>
        <v>0</v>
      </c>
      <c r="Z13" s="16">
        <f t="shared" si="2"/>
        <v>1</v>
      </c>
      <c r="AA13" s="16">
        <f t="shared" si="2"/>
        <v>0</v>
      </c>
      <c r="AB13" s="16">
        <f t="shared" si="2"/>
        <v>0</v>
      </c>
      <c r="AC13" s="33">
        <f t="shared" si="2"/>
        <v>0</v>
      </c>
      <c r="AD13" s="36">
        <f t="shared" si="2"/>
        <v>8</v>
      </c>
    </row>
    <row r="14" spans="1:30" ht="13.5">
      <c r="A14" s="14">
        <v>9</v>
      </c>
      <c r="B14" s="207" t="s">
        <v>31</v>
      </c>
      <c r="C14" s="24" t="s">
        <v>32</v>
      </c>
      <c r="D14" s="24" t="s">
        <v>33</v>
      </c>
      <c r="E14" s="15"/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7"/>
      <c r="U14" s="19"/>
      <c r="V14" s="15"/>
      <c r="W14" s="19"/>
      <c r="X14" s="15"/>
      <c r="Y14" s="15"/>
      <c r="Z14" s="15"/>
      <c r="AA14" s="15"/>
      <c r="AB14" s="15"/>
      <c r="AC14" s="17"/>
      <c r="AD14" s="25">
        <f>SUM(E14:AC14)</f>
        <v>0</v>
      </c>
    </row>
    <row r="15" spans="1:30" ht="13.5">
      <c r="A15" s="26"/>
      <c r="B15" s="208"/>
      <c r="C15" s="27"/>
      <c r="D15" s="24" t="s">
        <v>34</v>
      </c>
      <c r="E15" s="15"/>
      <c r="F15" s="16"/>
      <c r="G15" s="16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7"/>
      <c r="T15" s="17"/>
      <c r="U15" s="19"/>
      <c r="V15" s="15"/>
      <c r="W15" s="19"/>
      <c r="X15" s="15"/>
      <c r="Y15" s="15"/>
      <c r="Z15" s="15"/>
      <c r="AA15" s="15"/>
      <c r="AB15" s="15"/>
      <c r="AC15" s="17"/>
      <c r="AD15" s="25">
        <f aca="true" t="shared" si="3" ref="AD15:AD21">SUM(E15:AC15)</f>
        <v>0</v>
      </c>
    </row>
    <row r="16" spans="1:30" ht="13.5">
      <c r="A16" s="14">
        <v>10</v>
      </c>
      <c r="B16" s="208"/>
      <c r="C16" s="24" t="s">
        <v>26</v>
      </c>
      <c r="D16" s="24" t="s">
        <v>33</v>
      </c>
      <c r="E16" s="15">
        <v>1</v>
      </c>
      <c r="F16" s="15"/>
      <c r="G16" s="16">
        <v>5</v>
      </c>
      <c r="H16" s="16">
        <v>7</v>
      </c>
      <c r="I16" s="15">
        <v>15</v>
      </c>
      <c r="J16" s="15">
        <v>2</v>
      </c>
      <c r="K16" s="15">
        <v>4</v>
      </c>
      <c r="L16" s="15">
        <v>32</v>
      </c>
      <c r="M16" s="15"/>
      <c r="N16" s="15">
        <v>96</v>
      </c>
      <c r="O16" s="15">
        <v>4</v>
      </c>
      <c r="P16" s="15"/>
      <c r="Q16" s="15"/>
      <c r="R16" s="15"/>
      <c r="S16" s="17"/>
      <c r="T16" s="17"/>
      <c r="U16" s="19"/>
      <c r="V16" s="15"/>
      <c r="W16" s="19">
        <v>1</v>
      </c>
      <c r="X16" s="15">
        <v>2</v>
      </c>
      <c r="Y16" s="15">
        <v>5</v>
      </c>
      <c r="Z16" s="15">
        <v>13</v>
      </c>
      <c r="AA16" s="15"/>
      <c r="AB16" s="15">
        <v>1</v>
      </c>
      <c r="AC16" s="17"/>
      <c r="AD16" s="25">
        <f t="shared" si="3"/>
        <v>188</v>
      </c>
    </row>
    <row r="17" spans="1:30" ht="13.5">
      <c r="A17" s="14" t="s">
        <v>35</v>
      </c>
      <c r="B17" s="208"/>
      <c r="C17" s="27"/>
      <c r="D17" s="24" t="s">
        <v>34</v>
      </c>
      <c r="E17" s="15">
        <v>40</v>
      </c>
      <c r="F17" s="15"/>
      <c r="G17" s="16">
        <v>175</v>
      </c>
      <c r="H17" s="16">
        <v>162</v>
      </c>
      <c r="I17" s="16">
        <v>107</v>
      </c>
      <c r="J17" s="15">
        <v>10</v>
      </c>
      <c r="K17" s="15">
        <v>92</v>
      </c>
      <c r="L17" s="15">
        <f>29*60</f>
        <v>1740</v>
      </c>
      <c r="M17" s="15"/>
      <c r="N17" s="15">
        <f>109.6*60</f>
        <v>6576</v>
      </c>
      <c r="O17" s="15">
        <v>98</v>
      </c>
      <c r="P17" s="15"/>
      <c r="Q17" s="15"/>
      <c r="R17" s="15"/>
      <c r="S17" s="17"/>
      <c r="T17" s="17"/>
      <c r="U17" s="19"/>
      <c r="V17" s="15"/>
      <c r="W17" s="19">
        <v>28</v>
      </c>
      <c r="X17" s="15">
        <v>15</v>
      </c>
      <c r="Y17" s="15">
        <v>209</v>
      </c>
      <c r="Z17" s="15">
        <f>12.1*60</f>
        <v>726</v>
      </c>
      <c r="AA17" s="15"/>
      <c r="AB17" s="15">
        <v>35</v>
      </c>
      <c r="AC17" s="17"/>
      <c r="AD17" s="25">
        <f t="shared" si="3"/>
        <v>10013</v>
      </c>
    </row>
    <row r="18" spans="1:30" ht="13.5">
      <c r="A18" s="14">
        <v>11</v>
      </c>
      <c r="B18" s="208"/>
      <c r="C18" s="24" t="s">
        <v>27</v>
      </c>
      <c r="D18" s="24" t="s">
        <v>33</v>
      </c>
      <c r="E18" s="15">
        <v>1</v>
      </c>
      <c r="F18" s="15"/>
      <c r="G18" s="16">
        <v>6</v>
      </c>
      <c r="H18" s="16">
        <v>1</v>
      </c>
      <c r="I18" s="15"/>
      <c r="J18" s="15"/>
      <c r="K18" s="15"/>
      <c r="L18" s="15">
        <v>21</v>
      </c>
      <c r="M18" s="15"/>
      <c r="N18" s="15">
        <v>56</v>
      </c>
      <c r="O18" s="15"/>
      <c r="P18" s="15">
        <v>3</v>
      </c>
      <c r="Q18" s="15"/>
      <c r="R18" s="15">
        <v>8</v>
      </c>
      <c r="S18" s="17"/>
      <c r="T18" s="17"/>
      <c r="U18" s="19"/>
      <c r="V18" s="15"/>
      <c r="W18" s="19"/>
      <c r="X18" s="15"/>
      <c r="Y18" s="15"/>
      <c r="Z18" s="15">
        <v>2</v>
      </c>
      <c r="AA18" s="15"/>
      <c r="AB18" s="15"/>
      <c r="AC18" s="17"/>
      <c r="AD18" s="25">
        <f t="shared" si="3"/>
        <v>98</v>
      </c>
    </row>
    <row r="19" spans="1:30" ht="14.25" thickBot="1">
      <c r="A19" s="26"/>
      <c r="B19" s="208"/>
      <c r="C19" s="27"/>
      <c r="D19" s="28" t="s">
        <v>34</v>
      </c>
      <c r="E19" s="15">
        <v>5</v>
      </c>
      <c r="F19" s="16"/>
      <c r="G19" s="16">
        <v>822</v>
      </c>
      <c r="H19" s="16">
        <v>51</v>
      </c>
      <c r="I19" s="16"/>
      <c r="J19" s="15"/>
      <c r="K19" s="15"/>
      <c r="L19" s="15">
        <f>33*60</f>
        <v>1980</v>
      </c>
      <c r="M19" s="15"/>
      <c r="N19" s="15">
        <f>101.7*60</f>
        <v>6102</v>
      </c>
      <c r="O19" s="15"/>
      <c r="P19" s="15">
        <v>270</v>
      </c>
      <c r="Q19" s="15"/>
      <c r="R19" s="15">
        <v>178</v>
      </c>
      <c r="S19" s="17"/>
      <c r="T19" s="17"/>
      <c r="U19" s="19"/>
      <c r="V19" s="15"/>
      <c r="W19" s="19"/>
      <c r="X19" s="15"/>
      <c r="Y19" s="15"/>
      <c r="Z19" s="15">
        <f>2.6*60</f>
        <v>156</v>
      </c>
      <c r="AA19" s="15"/>
      <c r="AB19" s="15"/>
      <c r="AC19" s="17"/>
      <c r="AD19" s="25">
        <f t="shared" si="3"/>
        <v>9564</v>
      </c>
    </row>
    <row r="20" spans="1:30" ht="14.25" thickTop="1">
      <c r="A20" s="14">
        <v>12</v>
      </c>
      <c r="B20" s="208"/>
      <c r="C20" s="24" t="s">
        <v>28</v>
      </c>
      <c r="D20" s="24" t="s">
        <v>33</v>
      </c>
      <c r="E20" s="15"/>
      <c r="F20" s="15">
        <v>9</v>
      </c>
      <c r="G20" s="16">
        <v>14</v>
      </c>
      <c r="H20" s="16">
        <v>8</v>
      </c>
      <c r="I20" s="15"/>
      <c r="J20" s="15">
        <v>5</v>
      </c>
      <c r="K20" s="15">
        <v>3</v>
      </c>
      <c r="L20" s="15">
        <v>9</v>
      </c>
      <c r="M20" s="15">
        <v>12</v>
      </c>
      <c r="N20" s="15">
        <v>40</v>
      </c>
      <c r="O20" s="15">
        <v>4</v>
      </c>
      <c r="P20" s="15"/>
      <c r="Q20" s="15"/>
      <c r="R20" s="15">
        <v>4</v>
      </c>
      <c r="S20" s="17"/>
      <c r="T20" s="17">
        <v>20</v>
      </c>
      <c r="U20" s="19"/>
      <c r="V20" s="15">
        <v>1</v>
      </c>
      <c r="W20" s="19">
        <v>1</v>
      </c>
      <c r="X20" s="15">
        <v>8</v>
      </c>
      <c r="Y20" s="15">
        <v>1</v>
      </c>
      <c r="Z20" s="15">
        <v>2</v>
      </c>
      <c r="AA20" s="15">
        <v>2</v>
      </c>
      <c r="AB20" s="15"/>
      <c r="AC20" s="17">
        <v>5</v>
      </c>
      <c r="AD20" s="25">
        <f t="shared" si="3"/>
        <v>148</v>
      </c>
    </row>
    <row r="21" spans="1:30" ht="13.5">
      <c r="A21" s="26"/>
      <c r="B21" s="208"/>
      <c r="C21" s="27"/>
      <c r="D21" s="24" t="s">
        <v>34</v>
      </c>
      <c r="E21" s="15"/>
      <c r="F21" s="16">
        <v>379</v>
      </c>
      <c r="G21" s="16">
        <v>1533</v>
      </c>
      <c r="H21" s="16">
        <v>204</v>
      </c>
      <c r="I21" s="16"/>
      <c r="J21" s="15">
        <v>97</v>
      </c>
      <c r="K21" s="15">
        <v>187</v>
      </c>
      <c r="L21" s="15">
        <f>3.6*60</f>
        <v>216</v>
      </c>
      <c r="M21" s="15">
        <v>1120</v>
      </c>
      <c r="N21" s="15">
        <f>40.5*60</f>
        <v>2430</v>
      </c>
      <c r="O21" s="15">
        <v>180</v>
      </c>
      <c r="P21" s="15"/>
      <c r="Q21" s="15"/>
      <c r="R21" s="15">
        <v>157</v>
      </c>
      <c r="S21" s="17"/>
      <c r="T21" s="17">
        <v>856</v>
      </c>
      <c r="U21" s="19"/>
      <c r="V21" s="15">
        <v>107</v>
      </c>
      <c r="W21" s="19">
        <v>19</v>
      </c>
      <c r="X21" s="15">
        <v>46</v>
      </c>
      <c r="Y21" s="15">
        <v>15</v>
      </c>
      <c r="Z21" s="15">
        <f>1.8*60</f>
        <v>108</v>
      </c>
      <c r="AA21" s="15">
        <v>68</v>
      </c>
      <c r="AB21" s="15"/>
      <c r="AC21" s="17">
        <v>342</v>
      </c>
      <c r="AD21" s="25">
        <f t="shared" si="3"/>
        <v>8064</v>
      </c>
    </row>
    <row r="22" spans="1:30" ht="13.5">
      <c r="A22" s="14">
        <v>13</v>
      </c>
      <c r="B22" s="208"/>
      <c r="C22" s="198" t="s">
        <v>36</v>
      </c>
      <c r="D22" s="199"/>
      <c r="E22" s="15">
        <f>E14+E16+E18+E20</f>
        <v>2</v>
      </c>
      <c r="F22" s="15">
        <f aca="true" t="shared" si="4" ref="F22:AD23">F14+F16+F18+F20</f>
        <v>9</v>
      </c>
      <c r="G22" s="15">
        <f t="shared" si="4"/>
        <v>25</v>
      </c>
      <c r="H22" s="15">
        <f t="shared" si="4"/>
        <v>16</v>
      </c>
      <c r="I22" s="15">
        <f t="shared" si="4"/>
        <v>15</v>
      </c>
      <c r="J22" s="15">
        <f t="shared" si="4"/>
        <v>7</v>
      </c>
      <c r="K22" s="15">
        <f t="shared" si="4"/>
        <v>7</v>
      </c>
      <c r="L22" s="15">
        <f t="shared" si="4"/>
        <v>62</v>
      </c>
      <c r="M22" s="15">
        <f t="shared" si="4"/>
        <v>12</v>
      </c>
      <c r="N22" s="15">
        <f t="shared" si="4"/>
        <v>192</v>
      </c>
      <c r="O22" s="15">
        <f t="shared" si="4"/>
        <v>8</v>
      </c>
      <c r="P22" s="15">
        <f t="shared" si="4"/>
        <v>3</v>
      </c>
      <c r="Q22" s="15">
        <f t="shared" si="4"/>
        <v>0</v>
      </c>
      <c r="R22" s="15">
        <f t="shared" si="4"/>
        <v>12</v>
      </c>
      <c r="S22" s="15"/>
      <c r="T22" s="15">
        <f t="shared" si="4"/>
        <v>20</v>
      </c>
      <c r="U22" s="15">
        <f t="shared" si="4"/>
        <v>0</v>
      </c>
      <c r="V22" s="15">
        <f t="shared" si="4"/>
        <v>1</v>
      </c>
      <c r="W22" s="15">
        <f t="shared" si="4"/>
        <v>2</v>
      </c>
      <c r="X22" s="15">
        <f t="shared" si="4"/>
        <v>10</v>
      </c>
      <c r="Y22" s="15">
        <f t="shared" si="4"/>
        <v>6</v>
      </c>
      <c r="Z22" s="15">
        <f t="shared" si="4"/>
        <v>17</v>
      </c>
      <c r="AA22" s="15">
        <f t="shared" si="4"/>
        <v>2</v>
      </c>
      <c r="AB22" s="15">
        <f t="shared" si="4"/>
        <v>1</v>
      </c>
      <c r="AC22" s="17">
        <f t="shared" si="4"/>
        <v>5</v>
      </c>
      <c r="AD22" s="25">
        <f t="shared" si="4"/>
        <v>434</v>
      </c>
    </row>
    <row r="23" spans="1:30" ht="13.5">
      <c r="A23" s="14">
        <v>14</v>
      </c>
      <c r="B23" s="209"/>
      <c r="C23" s="198" t="s">
        <v>37</v>
      </c>
      <c r="D23" s="199"/>
      <c r="E23" s="15">
        <f>E15+E17+E19+E21</f>
        <v>45</v>
      </c>
      <c r="F23" s="15">
        <f t="shared" si="4"/>
        <v>379</v>
      </c>
      <c r="G23" s="15">
        <f t="shared" si="4"/>
        <v>2530</v>
      </c>
      <c r="H23" s="15">
        <f t="shared" si="4"/>
        <v>417</v>
      </c>
      <c r="I23" s="15">
        <f t="shared" si="4"/>
        <v>107</v>
      </c>
      <c r="J23" s="15">
        <f t="shared" si="4"/>
        <v>107</v>
      </c>
      <c r="K23" s="15">
        <f t="shared" si="4"/>
        <v>279</v>
      </c>
      <c r="L23" s="15">
        <f t="shared" si="4"/>
        <v>3936</v>
      </c>
      <c r="M23" s="15">
        <f t="shared" si="4"/>
        <v>1120</v>
      </c>
      <c r="N23" s="15">
        <f t="shared" si="4"/>
        <v>15108</v>
      </c>
      <c r="O23" s="15">
        <f t="shared" si="4"/>
        <v>278</v>
      </c>
      <c r="P23" s="15">
        <f t="shared" si="4"/>
        <v>270</v>
      </c>
      <c r="Q23" s="15">
        <f t="shared" si="4"/>
        <v>0</v>
      </c>
      <c r="R23" s="15">
        <f t="shared" si="4"/>
        <v>335</v>
      </c>
      <c r="S23" s="15"/>
      <c r="T23" s="15">
        <f t="shared" si="4"/>
        <v>856</v>
      </c>
      <c r="U23" s="15">
        <f t="shared" si="4"/>
        <v>0</v>
      </c>
      <c r="V23" s="15">
        <f t="shared" si="4"/>
        <v>107</v>
      </c>
      <c r="W23" s="15">
        <f t="shared" si="4"/>
        <v>47</v>
      </c>
      <c r="X23" s="15">
        <f t="shared" si="4"/>
        <v>61</v>
      </c>
      <c r="Y23" s="15">
        <f t="shared" si="4"/>
        <v>224</v>
      </c>
      <c r="Z23" s="15">
        <f t="shared" si="4"/>
        <v>990</v>
      </c>
      <c r="AA23" s="15">
        <f t="shared" si="4"/>
        <v>68</v>
      </c>
      <c r="AB23" s="15">
        <f t="shared" si="4"/>
        <v>35</v>
      </c>
      <c r="AC23" s="17">
        <f t="shared" si="4"/>
        <v>342</v>
      </c>
      <c r="AD23" s="25">
        <f t="shared" si="4"/>
        <v>27641</v>
      </c>
    </row>
    <row r="24" spans="1:30" ht="13.5">
      <c r="A24" s="14">
        <v>16</v>
      </c>
      <c r="B24" s="198" t="s">
        <v>39</v>
      </c>
      <c r="C24" s="200"/>
      <c r="D24" s="199"/>
      <c r="E24" s="15">
        <f>E7-E12</f>
        <v>12</v>
      </c>
      <c r="F24" s="15">
        <f aca="true" t="shared" si="5" ref="F24:AD24">F7-F12</f>
        <v>61</v>
      </c>
      <c r="G24" s="15">
        <f t="shared" si="5"/>
        <v>46</v>
      </c>
      <c r="H24" s="15">
        <f t="shared" si="5"/>
        <v>139</v>
      </c>
      <c r="I24" s="15">
        <f t="shared" si="5"/>
        <v>28</v>
      </c>
      <c r="J24" s="15">
        <f t="shared" si="5"/>
        <v>12</v>
      </c>
      <c r="K24" s="15">
        <f t="shared" si="5"/>
        <v>12</v>
      </c>
      <c r="L24" s="15">
        <f t="shared" si="5"/>
        <v>218</v>
      </c>
      <c r="M24" s="15">
        <f t="shared" si="5"/>
        <v>112</v>
      </c>
      <c r="N24" s="15">
        <f t="shared" si="5"/>
        <v>760</v>
      </c>
      <c r="O24" s="15">
        <f t="shared" si="5"/>
        <v>72</v>
      </c>
      <c r="P24" s="15">
        <f t="shared" si="5"/>
        <v>214</v>
      </c>
      <c r="Q24" s="15">
        <f t="shared" si="5"/>
        <v>4</v>
      </c>
      <c r="R24" s="15">
        <f t="shared" si="5"/>
        <v>28</v>
      </c>
      <c r="S24" s="15"/>
      <c r="T24" s="15">
        <f t="shared" si="5"/>
        <v>28</v>
      </c>
      <c r="U24" s="15">
        <f t="shared" si="5"/>
        <v>28</v>
      </c>
      <c r="V24" s="15">
        <f t="shared" si="5"/>
        <v>24</v>
      </c>
      <c r="W24" s="15">
        <f t="shared" si="5"/>
        <v>28</v>
      </c>
      <c r="X24" s="15">
        <f t="shared" si="5"/>
        <v>11</v>
      </c>
      <c r="Y24" s="15">
        <f t="shared" si="5"/>
        <v>28</v>
      </c>
      <c r="Z24" s="15">
        <f t="shared" si="5"/>
        <v>72</v>
      </c>
      <c r="AA24" s="15">
        <f t="shared" si="5"/>
        <v>36</v>
      </c>
      <c r="AB24" s="15">
        <f t="shared" si="5"/>
        <v>12</v>
      </c>
      <c r="AC24" s="17">
        <f t="shared" si="5"/>
        <v>28</v>
      </c>
      <c r="AD24" s="25">
        <f t="shared" si="5"/>
        <v>2013</v>
      </c>
    </row>
    <row r="25" spans="1:30" ht="13.5">
      <c r="A25" s="14">
        <v>17</v>
      </c>
      <c r="B25" s="198" t="s">
        <v>40</v>
      </c>
      <c r="C25" s="200"/>
      <c r="D25" s="199"/>
      <c r="E25" s="15">
        <f>E24-E22-E13</f>
        <v>9</v>
      </c>
      <c r="F25" s="15">
        <f aca="true" t="shared" si="6" ref="F25:AD25">F24-F22-F13</f>
        <v>52</v>
      </c>
      <c r="G25" s="15">
        <f t="shared" si="6"/>
        <v>20</v>
      </c>
      <c r="H25" s="15">
        <f t="shared" si="6"/>
        <v>123</v>
      </c>
      <c r="I25" s="15">
        <f t="shared" si="6"/>
        <v>13</v>
      </c>
      <c r="J25" s="15">
        <f t="shared" si="6"/>
        <v>5</v>
      </c>
      <c r="K25" s="15">
        <f t="shared" si="6"/>
        <v>5</v>
      </c>
      <c r="L25" s="15">
        <f t="shared" si="6"/>
        <v>156</v>
      </c>
      <c r="M25" s="15">
        <f t="shared" si="6"/>
        <v>98</v>
      </c>
      <c r="N25" s="15">
        <f t="shared" si="6"/>
        <v>567</v>
      </c>
      <c r="O25" s="15">
        <f t="shared" si="6"/>
        <v>64</v>
      </c>
      <c r="P25" s="15">
        <f t="shared" si="6"/>
        <v>210</v>
      </c>
      <c r="Q25" s="15">
        <f t="shared" si="6"/>
        <v>4</v>
      </c>
      <c r="R25" s="15">
        <f t="shared" si="6"/>
        <v>16</v>
      </c>
      <c r="S25" s="15"/>
      <c r="T25" s="15">
        <f t="shared" si="6"/>
        <v>8</v>
      </c>
      <c r="U25" s="15">
        <f t="shared" si="6"/>
        <v>28</v>
      </c>
      <c r="V25" s="15">
        <f t="shared" si="6"/>
        <v>23</v>
      </c>
      <c r="W25" s="15">
        <f t="shared" si="6"/>
        <v>26</v>
      </c>
      <c r="X25" s="15">
        <f t="shared" si="6"/>
        <v>0</v>
      </c>
      <c r="Y25" s="15">
        <f t="shared" si="6"/>
        <v>22</v>
      </c>
      <c r="Z25" s="15">
        <f t="shared" si="6"/>
        <v>54</v>
      </c>
      <c r="AA25" s="15">
        <f t="shared" si="6"/>
        <v>34</v>
      </c>
      <c r="AB25" s="15">
        <f t="shared" si="6"/>
        <v>11</v>
      </c>
      <c r="AC25" s="17">
        <f t="shared" si="6"/>
        <v>23</v>
      </c>
      <c r="AD25" s="25">
        <f t="shared" si="6"/>
        <v>1571</v>
      </c>
    </row>
    <row r="26" spans="1:30" ht="13.5">
      <c r="A26" s="14">
        <v>18</v>
      </c>
      <c r="B26" s="198" t="s">
        <v>41</v>
      </c>
      <c r="C26" s="200"/>
      <c r="D26" s="199"/>
      <c r="E26" s="29">
        <f>IF(E24=0,0,(E25+E16)/E24)</f>
        <v>0.8333333333333334</v>
      </c>
      <c r="F26" s="29">
        <f aca="true" t="shared" si="7" ref="F26:AD26">IF(F24=0,0,(F25+F16)/F24)</f>
        <v>0.8524590163934426</v>
      </c>
      <c r="G26" s="29">
        <f t="shared" si="7"/>
        <v>0.5434782608695652</v>
      </c>
      <c r="H26" s="29">
        <f t="shared" si="7"/>
        <v>0.935251798561151</v>
      </c>
      <c r="I26" s="29">
        <f t="shared" si="7"/>
        <v>1</v>
      </c>
      <c r="J26" s="29">
        <f t="shared" si="7"/>
        <v>0.5833333333333334</v>
      </c>
      <c r="K26" s="29">
        <f t="shared" si="7"/>
        <v>0.75</v>
      </c>
      <c r="L26" s="29">
        <f t="shared" si="7"/>
        <v>0.8623853211009175</v>
      </c>
      <c r="M26" s="29">
        <f t="shared" si="7"/>
        <v>0.875</v>
      </c>
      <c r="N26" s="29">
        <f t="shared" si="7"/>
        <v>0.8723684210526316</v>
      </c>
      <c r="O26" s="29">
        <f t="shared" si="7"/>
        <v>0.9444444444444444</v>
      </c>
      <c r="P26" s="29">
        <f t="shared" si="7"/>
        <v>0.9813084112149533</v>
      </c>
      <c r="Q26" s="29">
        <f t="shared" si="7"/>
        <v>1</v>
      </c>
      <c r="R26" s="29">
        <f t="shared" si="7"/>
        <v>0.5714285714285714</v>
      </c>
      <c r="S26" s="29"/>
      <c r="T26" s="29">
        <f t="shared" si="7"/>
        <v>0.2857142857142857</v>
      </c>
      <c r="U26" s="29">
        <f t="shared" si="7"/>
        <v>1</v>
      </c>
      <c r="V26" s="29">
        <f t="shared" si="7"/>
        <v>0.9583333333333334</v>
      </c>
      <c r="W26" s="29">
        <f t="shared" si="7"/>
        <v>0.9642857142857143</v>
      </c>
      <c r="X26" s="29">
        <f t="shared" si="7"/>
        <v>0.18181818181818182</v>
      </c>
      <c r="Y26" s="29">
        <f t="shared" si="7"/>
        <v>0.9642857142857143</v>
      </c>
      <c r="Z26" s="29">
        <f t="shared" si="7"/>
        <v>0.9305555555555556</v>
      </c>
      <c r="AA26" s="29">
        <f t="shared" si="7"/>
        <v>0.9444444444444444</v>
      </c>
      <c r="AB26" s="29">
        <f t="shared" si="7"/>
        <v>1</v>
      </c>
      <c r="AC26" s="34">
        <f t="shared" si="7"/>
        <v>0.8214285714285714</v>
      </c>
      <c r="AD26" s="37">
        <f t="shared" si="7"/>
        <v>0.8738201689021361</v>
      </c>
    </row>
    <row r="27" spans="1:30" ht="14.25" thickBot="1">
      <c r="A27" s="30">
        <v>19</v>
      </c>
      <c r="B27" s="210" t="s">
        <v>42</v>
      </c>
      <c r="C27" s="211"/>
      <c r="D27" s="212"/>
      <c r="E27" s="31">
        <f>+E23/E22</f>
        <v>22.5</v>
      </c>
      <c r="F27" s="31">
        <f aca="true" t="shared" si="8" ref="F27:AD27">+F23/F22</f>
        <v>42.111111111111114</v>
      </c>
      <c r="G27" s="31">
        <f t="shared" si="8"/>
        <v>101.2</v>
      </c>
      <c r="H27" s="31">
        <f t="shared" si="8"/>
        <v>26.0625</v>
      </c>
      <c r="I27" s="31">
        <f t="shared" si="8"/>
        <v>7.133333333333334</v>
      </c>
      <c r="J27" s="31">
        <f t="shared" si="8"/>
        <v>15.285714285714286</v>
      </c>
      <c r="K27" s="31">
        <f t="shared" si="8"/>
        <v>39.857142857142854</v>
      </c>
      <c r="L27" s="31">
        <f t="shared" si="8"/>
        <v>63.483870967741936</v>
      </c>
      <c r="M27" s="31">
        <f t="shared" si="8"/>
        <v>93.33333333333333</v>
      </c>
      <c r="N27" s="31">
        <f t="shared" si="8"/>
        <v>78.6875</v>
      </c>
      <c r="O27" s="31">
        <f t="shared" si="8"/>
        <v>34.75</v>
      </c>
      <c r="P27" s="31">
        <f t="shared" si="8"/>
        <v>90</v>
      </c>
      <c r="Q27" s="31" t="e">
        <f t="shared" si="8"/>
        <v>#DIV/0!</v>
      </c>
      <c r="R27" s="31">
        <f t="shared" si="8"/>
        <v>27.916666666666668</v>
      </c>
      <c r="S27" s="31"/>
      <c r="T27" s="31">
        <f t="shared" si="8"/>
        <v>42.8</v>
      </c>
      <c r="U27" s="31" t="e">
        <f t="shared" si="8"/>
        <v>#DIV/0!</v>
      </c>
      <c r="V27" s="31">
        <f t="shared" si="8"/>
        <v>107</v>
      </c>
      <c r="W27" s="31">
        <f t="shared" si="8"/>
        <v>23.5</v>
      </c>
      <c r="X27" s="31">
        <f t="shared" si="8"/>
        <v>6.1</v>
      </c>
      <c r="Y27" s="31">
        <f t="shared" si="8"/>
        <v>37.333333333333336</v>
      </c>
      <c r="Z27" s="31">
        <f t="shared" si="8"/>
        <v>58.23529411764706</v>
      </c>
      <c r="AA27" s="31">
        <f t="shared" si="8"/>
        <v>34</v>
      </c>
      <c r="AB27" s="31">
        <f t="shared" si="8"/>
        <v>35</v>
      </c>
      <c r="AC27" s="35">
        <f t="shared" si="8"/>
        <v>68.4</v>
      </c>
      <c r="AD27" s="38">
        <f t="shared" si="8"/>
        <v>63.6889400921659</v>
      </c>
    </row>
    <row r="28" ht="13.5" thickTop="1"/>
  </sheetData>
  <mergeCells count="21">
    <mergeCell ref="B25:D25"/>
    <mergeCell ref="B26:D26"/>
    <mergeCell ref="B27:D27"/>
    <mergeCell ref="B14:B23"/>
    <mergeCell ref="C22:D22"/>
    <mergeCell ref="C23:D23"/>
    <mergeCell ref="B24:D2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A1:AD1"/>
    <mergeCell ref="A2:AD2"/>
    <mergeCell ref="A3:AD3"/>
    <mergeCell ref="B4:D4"/>
  </mergeCells>
  <printOptions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U5" sqref="U5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29.7109375" style="0" customWidth="1"/>
    <col min="4" max="4" width="12.421875" style="0" bestFit="1" customWidth="1"/>
    <col min="5" max="5" width="6.00390625" style="0" bestFit="1" customWidth="1"/>
    <col min="6" max="6" width="5.28125" style="0" bestFit="1" customWidth="1"/>
    <col min="7" max="8" width="6.00390625" style="0" bestFit="1" customWidth="1"/>
    <col min="9" max="9" width="6.28125" style="0" bestFit="1" customWidth="1"/>
    <col min="10" max="10" width="4.28125" style="0" bestFit="1" customWidth="1"/>
    <col min="11" max="11" width="5.28125" style="0" bestFit="1" customWidth="1"/>
    <col min="12" max="13" width="6.00390625" style="0" bestFit="1" customWidth="1"/>
    <col min="14" max="14" width="7.00390625" style="0" bestFit="1" customWidth="1"/>
    <col min="15" max="16" width="5.28125" style="0" bestFit="1" customWidth="1"/>
    <col min="17" max="17" width="6.28125" style="0" bestFit="1" customWidth="1"/>
    <col min="18" max="18" width="4.28125" style="0" bestFit="1" customWidth="1"/>
    <col min="19" max="19" width="3.7109375" style="0" bestFit="1" customWidth="1"/>
    <col min="20" max="20" width="5.28125" style="0" bestFit="1" customWidth="1"/>
    <col min="21" max="21" width="8.8515625" style="0" bestFit="1" customWidth="1"/>
    <col min="22" max="24" width="4.28125" style="0" bestFit="1" customWidth="1"/>
    <col min="25" max="26" width="5.28125" style="0" bestFit="1" customWidth="1"/>
    <col min="27" max="27" width="8.8515625" style="0" bestFit="1" customWidth="1"/>
    <col min="28" max="28" width="5.28125" style="0" bestFit="1" customWidth="1"/>
    <col min="29" max="29" width="6.28125" style="0" bestFit="1" customWidth="1"/>
    <col min="30" max="30" width="7.00390625" style="0" bestFit="1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3" t="s">
        <v>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 thickTop="1">
      <c r="A4" s="1" t="s">
        <v>0</v>
      </c>
      <c r="B4" s="204" t="s">
        <v>1</v>
      </c>
      <c r="C4" s="205"/>
      <c r="D4" s="206"/>
      <c r="E4" s="2" t="s">
        <v>20</v>
      </c>
      <c r="F4" s="2" t="s">
        <v>48</v>
      </c>
      <c r="G4" s="2" t="s">
        <v>3</v>
      </c>
      <c r="H4" s="2" t="s">
        <v>49</v>
      </c>
      <c r="I4" s="2" t="s">
        <v>2</v>
      </c>
      <c r="J4" s="2" t="s">
        <v>19</v>
      </c>
      <c r="K4" s="32" t="s">
        <v>50</v>
      </c>
      <c r="L4" s="2" t="s">
        <v>15</v>
      </c>
      <c r="M4" s="2" t="s">
        <v>4</v>
      </c>
      <c r="N4" s="2" t="s">
        <v>5</v>
      </c>
      <c r="O4" s="2" t="s">
        <v>7</v>
      </c>
      <c r="P4" s="2" t="s">
        <v>6</v>
      </c>
      <c r="Q4" s="3" t="s">
        <v>8</v>
      </c>
      <c r="R4" s="3" t="s">
        <v>9</v>
      </c>
      <c r="S4" s="3" t="s">
        <v>54</v>
      </c>
      <c r="T4" s="2" t="s">
        <v>10</v>
      </c>
      <c r="U4" s="177" t="s">
        <v>17</v>
      </c>
      <c r="V4" s="3" t="s">
        <v>11</v>
      </c>
      <c r="W4" s="3" t="s">
        <v>12</v>
      </c>
      <c r="X4" s="3" t="s">
        <v>13</v>
      </c>
      <c r="Y4" s="3" t="s">
        <v>14</v>
      </c>
      <c r="Z4" s="3" t="s">
        <v>46</v>
      </c>
      <c r="AA4" s="3" t="s">
        <v>18</v>
      </c>
      <c r="AB4" s="3" t="s">
        <v>16</v>
      </c>
      <c r="AC4" s="3" t="s">
        <v>47</v>
      </c>
      <c r="AD4" s="4" t="s">
        <v>21</v>
      </c>
    </row>
    <row r="5" spans="1:30" ht="14.25" thickTop="1">
      <c r="A5" s="5">
        <v>1</v>
      </c>
      <c r="B5" s="196" t="s">
        <v>22</v>
      </c>
      <c r="C5" s="197"/>
      <c r="D5" s="195"/>
      <c r="E5" s="6">
        <v>13</v>
      </c>
      <c r="F5" s="6">
        <v>66</v>
      </c>
      <c r="G5" s="7">
        <v>100</v>
      </c>
      <c r="H5" s="7">
        <v>191</v>
      </c>
      <c r="I5" s="6">
        <v>31</v>
      </c>
      <c r="J5" s="6"/>
      <c r="K5" s="6">
        <v>14</v>
      </c>
      <c r="L5" s="6">
        <v>270</v>
      </c>
      <c r="M5" s="6">
        <v>124</v>
      </c>
      <c r="N5" s="6">
        <v>861</v>
      </c>
      <c r="O5" s="6">
        <v>80</v>
      </c>
      <c r="P5" s="6">
        <v>217</v>
      </c>
      <c r="Q5" s="6">
        <v>5</v>
      </c>
      <c r="R5" s="6"/>
      <c r="S5" s="8"/>
      <c r="T5" s="179">
        <v>31</v>
      </c>
      <c r="U5" s="18">
        <v>31</v>
      </c>
      <c r="V5" s="137"/>
      <c r="W5" s="10"/>
      <c r="X5" s="11"/>
      <c r="Y5" s="11">
        <v>31</v>
      </c>
      <c r="Z5" s="11">
        <v>72</v>
      </c>
      <c r="AA5" s="11">
        <v>40</v>
      </c>
      <c r="AB5" s="11">
        <v>13</v>
      </c>
      <c r="AC5" s="12">
        <v>31</v>
      </c>
      <c r="AD5" s="13">
        <f>SUM(E5:AC5)</f>
        <v>2221</v>
      </c>
    </row>
    <row r="6" spans="1:30" ht="13.5">
      <c r="A6" s="14">
        <v>2</v>
      </c>
      <c r="B6" s="198" t="s">
        <v>23</v>
      </c>
      <c r="C6" s="200"/>
      <c r="D6" s="199"/>
      <c r="E6" s="15"/>
      <c r="F6" s="15"/>
      <c r="G6" s="16"/>
      <c r="H6" s="16"/>
      <c r="I6" s="15"/>
      <c r="J6" s="15"/>
      <c r="K6" s="15"/>
      <c r="L6" s="15"/>
      <c r="M6" s="15"/>
      <c r="N6" s="15"/>
      <c r="O6" s="15"/>
      <c r="P6" s="15"/>
      <c r="Q6" s="15">
        <v>1</v>
      </c>
      <c r="R6" s="15"/>
      <c r="S6" s="17"/>
      <c r="T6" s="18"/>
      <c r="U6" s="10"/>
      <c r="V6" s="15"/>
      <c r="W6" s="19"/>
      <c r="X6" s="15"/>
      <c r="Y6" s="15"/>
      <c r="Z6" s="15"/>
      <c r="AA6" s="15"/>
      <c r="AB6" s="15"/>
      <c r="AC6" s="17"/>
      <c r="AD6" s="13">
        <f>SUM(E6:AC6)</f>
        <v>1</v>
      </c>
    </row>
    <row r="7" spans="1:30" ht="13.5">
      <c r="A7" s="14">
        <v>15</v>
      </c>
      <c r="B7" s="198" t="s">
        <v>38</v>
      </c>
      <c r="C7" s="200"/>
      <c r="D7" s="199"/>
      <c r="E7" s="15">
        <f>SUM(E5:E6)</f>
        <v>13</v>
      </c>
      <c r="F7" s="15">
        <f aca="true" t="shared" si="0" ref="F7:AD7">SUM(F5:F6)</f>
        <v>66</v>
      </c>
      <c r="G7" s="15">
        <f t="shared" si="0"/>
        <v>100</v>
      </c>
      <c r="H7" s="15">
        <f t="shared" si="0"/>
        <v>191</v>
      </c>
      <c r="I7" s="15">
        <f t="shared" si="0"/>
        <v>31</v>
      </c>
      <c r="J7" s="15">
        <f t="shared" si="0"/>
        <v>0</v>
      </c>
      <c r="K7" s="15">
        <f t="shared" si="0"/>
        <v>14</v>
      </c>
      <c r="L7" s="15">
        <f t="shared" si="0"/>
        <v>270</v>
      </c>
      <c r="M7" s="15">
        <f t="shared" si="0"/>
        <v>124</v>
      </c>
      <c r="N7" s="15">
        <f t="shared" si="0"/>
        <v>861</v>
      </c>
      <c r="O7" s="15">
        <f t="shared" si="0"/>
        <v>80</v>
      </c>
      <c r="P7" s="15">
        <f t="shared" si="0"/>
        <v>217</v>
      </c>
      <c r="Q7" s="15">
        <f t="shared" si="0"/>
        <v>6</v>
      </c>
      <c r="R7" s="15">
        <f t="shared" si="0"/>
        <v>0</v>
      </c>
      <c r="S7" s="17"/>
      <c r="T7" s="18">
        <f t="shared" si="0"/>
        <v>31</v>
      </c>
      <c r="U7" s="138">
        <f t="shared" si="0"/>
        <v>31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5">
        <f t="shared" si="0"/>
        <v>31</v>
      </c>
      <c r="Z7" s="15">
        <f t="shared" si="0"/>
        <v>72</v>
      </c>
      <c r="AA7" s="15">
        <f t="shared" si="0"/>
        <v>40</v>
      </c>
      <c r="AB7" s="15">
        <f t="shared" si="0"/>
        <v>13</v>
      </c>
      <c r="AC7" s="17">
        <f t="shared" si="0"/>
        <v>31</v>
      </c>
      <c r="AD7" s="25">
        <f t="shared" si="0"/>
        <v>2222</v>
      </c>
    </row>
    <row r="8" spans="1:30" ht="13.5">
      <c r="A8" s="14">
        <v>3</v>
      </c>
      <c r="B8" s="207" t="s">
        <v>24</v>
      </c>
      <c r="C8" s="198" t="s">
        <v>25</v>
      </c>
      <c r="D8" s="199"/>
      <c r="E8" s="20"/>
      <c r="F8" s="20"/>
      <c r="G8" s="21">
        <v>2</v>
      </c>
      <c r="H8" s="21"/>
      <c r="I8" s="20"/>
      <c r="J8" s="20"/>
      <c r="K8" s="15"/>
      <c r="L8" s="15"/>
      <c r="M8" s="15"/>
      <c r="N8" s="20"/>
      <c r="O8" s="20"/>
      <c r="P8" s="20"/>
      <c r="Q8" s="20"/>
      <c r="R8" s="20"/>
      <c r="S8" s="22"/>
      <c r="T8" s="141"/>
      <c r="U8" s="23"/>
      <c r="V8" s="20"/>
      <c r="W8" s="23"/>
      <c r="X8" s="20"/>
      <c r="Y8" s="20"/>
      <c r="Z8" s="20"/>
      <c r="AA8" s="20"/>
      <c r="AB8" s="20"/>
      <c r="AC8" s="22"/>
      <c r="AD8" s="13">
        <f>SUM(E8:AC8)</f>
        <v>2</v>
      </c>
    </row>
    <row r="9" spans="1:30" ht="13.5">
      <c r="A9" s="14">
        <v>4</v>
      </c>
      <c r="B9" s="208"/>
      <c r="C9" s="198" t="s">
        <v>26</v>
      </c>
      <c r="D9" s="199"/>
      <c r="E9" s="15"/>
      <c r="F9" s="20"/>
      <c r="G9" s="21"/>
      <c r="H9" s="21"/>
      <c r="I9" s="20"/>
      <c r="J9" s="20"/>
      <c r="K9" s="20"/>
      <c r="L9" s="15"/>
      <c r="M9" s="15"/>
      <c r="N9" s="20"/>
      <c r="O9" s="20">
        <v>1</v>
      </c>
      <c r="P9" s="20"/>
      <c r="Q9" s="20"/>
      <c r="R9" s="20"/>
      <c r="S9" s="22"/>
      <c r="T9" s="141"/>
      <c r="U9" s="23"/>
      <c r="V9" s="20"/>
      <c r="W9" s="23"/>
      <c r="X9" s="20"/>
      <c r="Y9" s="20"/>
      <c r="Z9" s="20"/>
      <c r="AA9" s="20"/>
      <c r="AB9" s="20"/>
      <c r="AC9" s="22"/>
      <c r="AD9" s="13">
        <f>SUM(E9:AC9)</f>
        <v>1</v>
      </c>
    </row>
    <row r="10" spans="1:30" ht="13.5">
      <c r="A10" s="14">
        <v>5</v>
      </c>
      <c r="B10" s="208"/>
      <c r="C10" s="198" t="s">
        <v>27</v>
      </c>
      <c r="D10" s="199"/>
      <c r="E10" s="15"/>
      <c r="F10" s="20"/>
      <c r="G10" s="21"/>
      <c r="H10" s="21">
        <v>1</v>
      </c>
      <c r="I10" s="20"/>
      <c r="J10" s="20"/>
      <c r="K10" s="20"/>
      <c r="L10" s="15">
        <v>3</v>
      </c>
      <c r="M10" s="15"/>
      <c r="N10" s="20"/>
      <c r="O10" s="20"/>
      <c r="P10" s="20">
        <v>2</v>
      </c>
      <c r="Q10" s="20"/>
      <c r="R10" s="20"/>
      <c r="S10" s="22"/>
      <c r="T10" s="141"/>
      <c r="U10" s="23"/>
      <c r="V10" s="20"/>
      <c r="W10" s="23"/>
      <c r="X10" s="20"/>
      <c r="Y10" s="20"/>
      <c r="Z10" s="20"/>
      <c r="AA10" s="20"/>
      <c r="AB10" s="20"/>
      <c r="AC10" s="22"/>
      <c r="AD10" s="13">
        <f>SUM(E10:AC10)</f>
        <v>6</v>
      </c>
    </row>
    <row r="11" spans="1:30" ht="13.5">
      <c r="A11" s="14">
        <v>6</v>
      </c>
      <c r="B11" s="208"/>
      <c r="C11" s="198" t="s">
        <v>28</v>
      </c>
      <c r="D11" s="199"/>
      <c r="E11" s="15"/>
      <c r="F11" s="20"/>
      <c r="G11" s="21"/>
      <c r="H11" s="21"/>
      <c r="I11" s="20"/>
      <c r="J11" s="20"/>
      <c r="K11" s="15"/>
      <c r="L11" s="20">
        <v>2</v>
      </c>
      <c r="M11" s="20"/>
      <c r="N11" s="20"/>
      <c r="O11" s="20"/>
      <c r="P11" s="20"/>
      <c r="Q11" s="20"/>
      <c r="R11" s="20"/>
      <c r="S11" s="22"/>
      <c r="T11" s="141"/>
      <c r="U11" s="23"/>
      <c r="V11" s="20"/>
      <c r="W11" s="23"/>
      <c r="X11" s="20"/>
      <c r="Y11" s="20"/>
      <c r="Z11" s="20"/>
      <c r="AA11" s="20"/>
      <c r="AB11" s="20"/>
      <c r="AC11" s="22"/>
      <c r="AD11" s="13">
        <f>SUM(E11:AC11)</f>
        <v>2</v>
      </c>
    </row>
    <row r="12" spans="1:30" ht="13.5">
      <c r="A12" s="14">
        <v>7</v>
      </c>
      <c r="B12" s="208"/>
      <c r="C12" s="198" t="s">
        <v>29</v>
      </c>
      <c r="D12" s="199"/>
      <c r="E12" s="16">
        <f>E8+E9</f>
        <v>0</v>
      </c>
      <c r="F12" s="16">
        <f aca="true" t="shared" si="1" ref="F12:AD12">F8+F9</f>
        <v>0</v>
      </c>
      <c r="G12" s="16">
        <f t="shared" si="1"/>
        <v>2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1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33"/>
      <c r="T12" s="142">
        <f t="shared" si="1"/>
        <v>0</v>
      </c>
      <c r="U12" s="140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33">
        <f t="shared" si="1"/>
        <v>0</v>
      </c>
      <c r="AD12" s="36">
        <f t="shared" si="1"/>
        <v>3</v>
      </c>
    </row>
    <row r="13" spans="1:30" ht="13.5">
      <c r="A13" s="14">
        <v>8</v>
      </c>
      <c r="B13" s="209"/>
      <c r="C13" s="198" t="s">
        <v>30</v>
      </c>
      <c r="D13" s="199"/>
      <c r="E13" s="16">
        <f>E10+E11</f>
        <v>0</v>
      </c>
      <c r="F13" s="16">
        <f aca="true" t="shared" si="2" ref="F13:AD13">F10+F11</f>
        <v>0</v>
      </c>
      <c r="G13" s="16">
        <f t="shared" si="2"/>
        <v>0</v>
      </c>
      <c r="H13" s="16">
        <f t="shared" si="2"/>
        <v>1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5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2</v>
      </c>
      <c r="Q13" s="16">
        <f t="shared" si="2"/>
        <v>0</v>
      </c>
      <c r="R13" s="16">
        <f t="shared" si="2"/>
        <v>0</v>
      </c>
      <c r="S13" s="33"/>
      <c r="T13" s="142">
        <f t="shared" si="2"/>
        <v>0</v>
      </c>
      <c r="U13" s="140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6">
        <f t="shared" si="2"/>
        <v>0</v>
      </c>
      <c r="AC13" s="33">
        <f t="shared" si="2"/>
        <v>0</v>
      </c>
      <c r="AD13" s="36">
        <f t="shared" si="2"/>
        <v>8</v>
      </c>
    </row>
    <row r="14" spans="1:30" ht="13.5">
      <c r="A14" s="14">
        <v>9</v>
      </c>
      <c r="B14" s="207" t="s">
        <v>31</v>
      </c>
      <c r="C14" s="24" t="s">
        <v>32</v>
      </c>
      <c r="D14" s="24" t="s">
        <v>33</v>
      </c>
      <c r="E14" s="15"/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8"/>
      <c r="U14" s="19"/>
      <c r="V14" s="15"/>
      <c r="W14" s="19"/>
      <c r="X14" s="15"/>
      <c r="Y14" s="15"/>
      <c r="Z14" s="15"/>
      <c r="AA14" s="15"/>
      <c r="AB14" s="15"/>
      <c r="AC14" s="17"/>
      <c r="AD14" s="25">
        <f>SUM(E14:AC14)</f>
        <v>0</v>
      </c>
    </row>
    <row r="15" spans="1:30" ht="13.5">
      <c r="A15" s="26"/>
      <c r="B15" s="208"/>
      <c r="C15" s="27"/>
      <c r="D15" s="24" t="s">
        <v>34</v>
      </c>
      <c r="E15" s="15"/>
      <c r="F15" s="16"/>
      <c r="G15" s="16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7"/>
      <c r="T15" s="18"/>
      <c r="U15" s="19"/>
      <c r="V15" s="15"/>
      <c r="W15" s="19"/>
      <c r="X15" s="15"/>
      <c r="Y15" s="15"/>
      <c r="Z15" s="15"/>
      <c r="AA15" s="15"/>
      <c r="AB15" s="15"/>
      <c r="AC15" s="17"/>
      <c r="AD15" s="25">
        <f aca="true" t="shared" si="3" ref="AD15:AD21">SUM(E15:AC15)</f>
        <v>0</v>
      </c>
    </row>
    <row r="16" spans="1:30" ht="13.5">
      <c r="A16" s="14">
        <v>10</v>
      </c>
      <c r="B16" s="208"/>
      <c r="C16" s="24" t="s">
        <v>26</v>
      </c>
      <c r="D16" s="24" t="s">
        <v>33</v>
      </c>
      <c r="E16" s="15">
        <v>2</v>
      </c>
      <c r="F16" s="15"/>
      <c r="G16" s="16">
        <v>16</v>
      </c>
      <c r="H16" s="16">
        <v>8</v>
      </c>
      <c r="I16" s="15">
        <v>14</v>
      </c>
      <c r="J16" s="15"/>
      <c r="K16" s="15">
        <v>2</v>
      </c>
      <c r="L16" s="15">
        <v>38</v>
      </c>
      <c r="M16" s="15">
        <v>1</v>
      </c>
      <c r="N16" s="15">
        <v>91</v>
      </c>
      <c r="O16" s="15">
        <v>4</v>
      </c>
      <c r="P16" s="15"/>
      <c r="Q16" s="15"/>
      <c r="R16" s="15"/>
      <c r="S16" s="17"/>
      <c r="T16" s="18"/>
      <c r="U16" s="19"/>
      <c r="V16" s="15"/>
      <c r="W16" s="19"/>
      <c r="X16" s="15"/>
      <c r="Y16" s="15">
        <v>2</v>
      </c>
      <c r="Z16" s="15">
        <v>6</v>
      </c>
      <c r="AA16" s="15"/>
      <c r="AB16" s="15"/>
      <c r="AC16" s="17">
        <v>5</v>
      </c>
      <c r="AD16" s="25">
        <f t="shared" si="3"/>
        <v>189</v>
      </c>
    </row>
    <row r="17" spans="1:30" ht="13.5">
      <c r="A17" s="14" t="s">
        <v>35</v>
      </c>
      <c r="B17" s="208"/>
      <c r="C17" s="27"/>
      <c r="D17" s="24" t="s">
        <v>34</v>
      </c>
      <c r="E17" s="15">
        <v>32</v>
      </c>
      <c r="F17" s="15"/>
      <c r="G17" s="16">
        <f>565+316</f>
        <v>881</v>
      </c>
      <c r="H17" s="16">
        <f>4*60+14</f>
        <v>254</v>
      </c>
      <c r="I17" s="16">
        <v>244</v>
      </c>
      <c r="J17" s="15"/>
      <c r="K17" s="15">
        <v>80</v>
      </c>
      <c r="L17" s="15">
        <f>26.2*60</f>
        <v>1572</v>
      </c>
      <c r="M17" s="15">
        <v>58</v>
      </c>
      <c r="N17" s="15">
        <f>113*60</f>
        <v>6780</v>
      </c>
      <c r="O17" s="15">
        <v>135</v>
      </c>
      <c r="P17" s="15"/>
      <c r="Q17" s="15"/>
      <c r="R17" s="15"/>
      <c r="S17" s="17"/>
      <c r="T17" s="18"/>
      <c r="U17" s="19"/>
      <c r="V17" s="15"/>
      <c r="W17" s="19"/>
      <c r="X17" s="15"/>
      <c r="Y17" s="15">
        <v>55</v>
      </c>
      <c r="Z17" s="15">
        <v>240</v>
      </c>
      <c r="AA17" s="15"/>
      <c r="AB17" s="15"/>
      <c r="AC17" s="17">
        <v>583</v>
      </c>
      <c r="AD17" s="25">
        <f t="shared" si="3"/>
        <v>10914</v>
      </c>
    </row>
    <row r="18" spans="1:30" ht="13.5">
      <c r="A18" s="14">
        <v>11</v>
      </c>
      <c r="B18" s="208"/>
      <c r="C18" s="24" t="s">
        <v>27</v>
      </c>
      <c r="D18" s="24" t="s">
        <v>33</v>
      </c>
      <c r="E18" s="15">
        <v>1</v>
      </c>
      <c r="F18" s="15"/>
      <c r="G18" s="16">
        <v>12</v>
      </c>
      <c r="H18" s="16">
        <v>7</v>
      </c>
      <c r="I18" s="15"/>
      <c r="J18" s="15"/>
      <c r="K18" s="15">
        <v>2</v>
      </c>
      <c r="L18" s="15">
        <v>16</v>
      </c>
      <c r="M18" s="15">
        <v>1</v>
      </c>
      <c r="N18" s="15">
        <v>85</v>
      </c>
      <c r="O18" s="15">
        <v>1</v>
      </c>
      <c r="P18" s="15">
        <v>7</v>
      </c>
      <c r="Q18" s="15"/>
      <c r="R18" s="15"/>
      <c r="S18" s="17"/>
      <c r="T18" s="18"/>
      <c r="U18" s="19"/>
      <c r="V18" s="15"/>
      <c r="W18" s="19"/>
      <c r="X18" s="15"/>
      <c r="Y18" s="15"/>
      <c r="Z18" s="15">
        <v>3</v>
      </c>
      <c r="AA18" s="15"/>
      <c r="AB18" s="15"/>
      <c r="AC18" s="17"/>
      <c r="AD18" s="25">
        <f t="shared" si="3"/>
        <v>135</v>
      </c>
    </row>
    <row r="19" spans="1:30" ht="14.25" thickBot="1">
      <c r="A19" s="26"/>
      <c r="B19" s="208"/>
      <c r="C19" s="27"/>
      <c r="D19" s="28" t="s">
        <v>34</v>
      </c>
      <c r="E19" s="15">
        <f>22*60+15</f>
        <v>1335</v>
      </c>
      <c r="F19" s="16"/>
      <c r="G19" s="16">
        <v>1927</v>
      </c>
      <c r="H19" s="16">
        <f>14*60+6</f>
        <v>846</v>
      </c>
      <c r="I19" s="16"/>
      <c r="J19" s="15"/>
      <c r="K19" s="15">
        <v>62</v>
      </c>
      <c r="L19" s="15">
        <f>12.1*60</f>
        <v>726</v>
      </c>
      <c r="M19" s="15">
        <v>423</v>
      </c>
      <c r="N19" s="15">
        <f>85*189.2</f>
        <v>16081.999999999998</v>
      </c>
      <c r="O19" s="15">
        <v>76</v>
      </c>
      <c r="P19" s="15">
        <f>13.2*60</f>
        <v>792</v>
      </c>
      <c r="Q19" s="15"/>
      <c r="R19" s="15"/>
      <c r="S19" s="17"/>
      <c r="T19" s="18"/>
      <c r="U19" s="19"/>
      <c r="V19" s="15"/>
      <c r="W19" s="19"/>
      <c r="X19" s="15"/>
      <c r="Y19" s="15"/>
      <c r="Z19" s="15">
        <f>60*8.1</f>
        <v>486</v>
      </c>
      <c r="AA19" s="15"/>
      <c r="AB19" s="15"/>
      <c r="AC19" s="17"/>
      <c r="AD19" s="25">
        <f t="shared" si="3"/>
        <v>22755</v>
      </c>
    </row>
    <row r="20" spans="1:30" ht="14.25" thickTop="1">
      <c r="A20" s="14">
        <v>12</v>
      </c>
      <c r="B20" s="208"/>
      <c r="C20" s="24" t="s">
        <v>28</v>
      </c>
      <c r="D20" s="24" t="s">
        <v>33</v>
      </c>
      <c r="E20" s="15">
        <v>4</v>
      </c>
      <c r="F20" s="15">
        <v>5</v>
      </c>
      <c r="G20" s="16">
        <v>34</v>
      </c>
      <c r="H20" s="16">
        <v>11</v>
      </c>
      <c r="I20" s="15"/>
      <c r="J20" s="15"/>
      <c r="K20" s="15">
        <v>4</v>
      </c>
      <c r="L20" s="15">
        <v>8</v>
      </c>
      <c r="M20" s="15">
        <v>13</v>
      </c>
      <c r="N20" s="15">
        <v>34</v>
      </c>
      <c r="O20" s="15">
        <v>1</v>
      </c>
      <c r="P20" s="15"/>
      <c r="Q20" s="15"/>
      <c r="R20" s="15"/>
      <c r="S20" s="17"/>
      <c r="T20" s="18">
        <v>13</v>
      </c>
      <c r="U20" s="19"/>
      <c r="V20" s="15"/>
      <c r="W20" s="19"/>
      <c r="X20" s="15"/>
      <c r="Y20" s="15">
        <v>2</v>
      </c>
      <c r="Z20" s="15">
        <v>2</v>
      </c>
      <c r="AA20" s="15"/>
      <c r="AB20" s="15">
        <v>3</v>
      </c>
      <c r="AC20" s="17"/>
      <c r="AD20" s="25">
        <f t="shared" si="3"/>
        <v>134</v>
      </c>
    </row>
    <row r="21" spans="1:30" ht="13.5">
      <c r="A21" s="26"/>
      <c r="B21" s="208"/>
      <c r="C21" s="27"/>
      <c r="D21" s="24" t="s">
        <v>34</v>
      </c>
      <c r="E21" s="15">
        <v>41</v>
      </c>
      <c r="F21" s="16">
        <v>187</v>
      </c>
      <c r="G21" s="16">
        <f>848+1494</f>
        <v>2342</v>
      </c>
      <c r="H21" s="16">
        <v>347</v>
      </c>
      <c r="I21" s="16"/>
      <c r="J21" s="15"/>
      <c r="K21" s="15">
        <v>259</v>
      </c>
      <c r="L21" s="15">
        <f>17.9*60</f>
        <v>1074</v>
      </c>
      <c r="M21" s="15">
        <v>927</v>
      </c>
      <c r="N21" s="15">
        <f>33.8*60</f>
        <v>2027.9999999999998</v>
      </c>
      <c r="O21" s="15">
        <v>43</v>
      </c>
      <c r="P21" s="15"/>
      <c r="Q21" s="15"/>
      <c r="R21" s="15"/>
      <c r="S21" s="17"/>
      <c r="T21" s="18">
        <v>382</v>
      </c>
      <c r="U21" s="19"/>
      <c r="V21" s="15"/>
      <c r="W21" s="19"/>
      <c r="X21" s="15"/>
      <c r="Y21" s="15">
        <v>50</v>
      </c>
      <c r="Z21" s="15">
        <f>0.6*60</f>
        <v>36</v>
      </c>
      <c r="AA21" s="15"/>
      <c r="AB21" s="15">
        <v>35</v>
      </c>
      <c r="AC21" s="17"/>
      <c r="AD21" s="25">
        <f t="shared" si="3"/>
        <v>7751</v>
      </c>
    </row>
    <row r="22" spans="1:30" ht="13.5">
      <c r="A22" s="14">
        <v>13</v>
      </c>
      <c r="B22" s="208"/>
      <c r="C22" s="198" t="s">
        <v>36</v>
      </c>
      <c r="D22" s="199"/>
      <c r="E22" s="15">
        <f>E14+E16+E18+E20</f>
        <v>7</v>
      </c>
      <c r="F22" s="15">
        <f aca="true" t="shared" si="4" ref="F22:AD23">F14+F16+F18+F20</f>
        <v>5</v>
      </c>
      <c r="G22" s="15">
        <f t="shared" si="4"/>
        <v>62</v>
      </c>
      <c r="H22" s="15">
        <f t="shared" si="4"/>
        <v>26</v>
      </c>
      <c r="I22" s="15">
        <f t="shared" si="4"/>
        <v>14</v>
      </c>
      <c r="J22" s="15">
        <f t="shared" si="4"/>
        <v>0</v>
      </c>
      <c r="K22" s="15">
        <f t="shared" si="4"/>
        <v>8</v>
      </c>
      <c r="L22" s="15">
        <f t="shared" si="4"/>
        <v>62</v>
      </c>
      <c r="M22" s="15">
        <f t="shared" si="4"/>
        <v>15</v>
      </c>
      <c r="N22" s="15">
        <f t="shared" si="4"/>
        <v>210</v>
      </c>
      <c r="O22" s="15">
        <f t="shared" si="4"/>
        <v>6</v>
      </c>
      <c r="P22" s="15">
        <f t="shared" si="4"/>
        <v>7</v>
      </c>
      <c r="Q22" s="15">
        <f t="shared" si="4"/>
        <v>0</v>
      </c>
      <c r="R22" s="15">
        <f t="shared" si="4"/>
        <v>0</v>
      </c>
      <c r="S22" s="17"/>
      <c r="T22" s="18">
        <f t="shared" si="4"/>
        <v>13</v>
      </c>
      <c r="U22" s="138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4</v>
      </c>
      <c r="Z22" s="15">
        <f t="shared" si="4"/>
        <v>11</v>
      </c>
      <c r="AA22" s="15">
        <f t="shared" si="4"/>
        <v>0</v>
      </c>
      <c r="AB22" s="15">
        <f t="shared" si="4"/>
        <v>3</v>
      </c>
      <c r="AC22" s="17">
        <f t="shared" si="4"/>
        <v>5</v>
      </c>
      <c r="AD22" s="25">
        <f t="shared" si="4"/>
        <v>458</v>
      </c>
    </row>
    <row r="23" spans="1:30" ht="13.5">
      <c r="A23" s="14">
        <v>14</v>
      </c>
      <c r="B23" s="209"/>
      <c r="C23" s="198" t="s">
        <v>37</v>
      </c>
      <c r="D23" s="199"/>
      <c r="E23" s="15">
        <f>E15+E17+E19+E21</f>
        <v>1408</v>
      </c>
      <c r="F23" s="15">
        <f t="shared" si="4"/>
        <v>187</v>
      </c>
      <c r="G23" s="15">
        <f t="shared" si="4"/>
        <v>5150</v>
      </c>
      <c r="H23" s="15">
        <f t="shared" si="4"/>
        <v>1447</v>
      </c>
      <c r="I23" s="15">
        <f t="shared" si="4"/>
        <v>244</v>
      </c>
      <c r="J23" s="15">
        <f t="shared" si="4"/>
        <v>0</v>
      </c>
      <c r="K23" s="15">
        <f t="shared" si="4"/>
        <v>401</v>
      </c>
      <c r="L23" s="15">
        <f t="shared" si="4"/>
        <v>3372</v>
      </c>
      <c r="M23" s="15">
        <f t="shared" si="4"/>
        <v>1408</v>
      </c>
      <c r="N23" s="15">
        <f t="shared" si="4"/>
        <v>24890</v>
      </c>
      <c r="O23" s="15">
        <f t="shared" si="4"/>
        <v>254</v>
      </c>
      <c r="P23" s="15">
        <f t="shared" si="4"/>
        <v>792</v>
      </c>
      <c r="Q23" s="15">
        <f t="shared" si="4"/>
        <v>0</v>
      </c>
      <c r="R23" s="15">
        <f t="shared" si="4"/>
        <v>0</v>
      </c>
      <c r="S23" s="17"/>
      <c r="T23" s="18">
        <f t="shared" si="4"/>
        <v>382</v>
      </c>
      <c r="U23" s="138">
        <f t="shared" si="4"/>
        <v>0</v>
      </c>
      <c r="V23" s="15">
        <f t="shared" si="4"/>
        <v>0</v>
      </c>
      <c r="W23" s="15">
        <f t="shared" si="4"/>
        <v>0</v>
      </c>
      <c r="X23" s="15">
        <f t="shared" si="4"/>
        <v>0</v>
      </c>
      <c r="Y23" s="15">
        <f t="shared" si="4"/>
        <v>105</v>
      </c>
      <c r="Z23" s="15">
        <f t="shared" si="4"/>
        <v>762</v>
      </c>
      <c r="AA23" s="15">
        <f t="shared" si="4"/>
        <v>0</v>
      </c>
      <c r="AB23" s="15">
        <f t="shared" si="4"/>
        <v>35</v>
      </c>
      <c r="AC23" s="17">
        <f t="shared" si="4"/>
        <v>583</v>
      </c>
      <c r="AD23" s="25">
        <f t="shared" si="4"/>
        <v>41420</v>
      </c>
    </row>
    <row r="24" spans="1:30" ht="13.5">
      <c r="A24" s="14">
        <v>16</v>
      </c>
      <c r="B24" s="198" t="s">
        <v>39</v>
      </c>
      <c r="C24" s="200"/>
      <c r="D24" s="199"/>
      <c r="E24" s="15">
        <f>E7-E12</f>
        <v>13</v>
      </c>
      <c r="F24" s="15">
        <f aca="true" t="shared" si="5" ref="F24:AD24">F7-F12</f>
        <v>66</v>
      </c>
      <c r="G24" s="15">
        <f t="shared" si="5"/>
        <v>98</v>
      </c>
      <c r="H24" s="15">
        <f t="shared" si="5"/>
        <v>191</v>
      </c>
      <c r="I24" s="15">
        <f t="shared" si="5"/>
        <v>31</v>
      </c>
      <c r="J24" s="15">
        <f t="shared" si="5"/>
        <v>0</v>
      </c>
      <c r="K24" s="15">
        <f t="shared" si="5"/>
        <v>14</v>
      </c>
      <c r="L24" s="15">
        <f t="shared" si="5"/>
        <v>270</v>
      </c>
      <c r="M24" s="15">
        <f t="shared" si="5"/>
        <v>124</v>
      </c>
      <c r="N24" s="15">
        <f t="shared" si="5"/>
        <v>861</v>
      </c>
      <c r="O24" s="15">
        <f t="shared" si="5"/>
        <v>79</v>
      </c>
      <c r="P24" s="15">
        <f t="shared" si="5"/>
        <v>217</v>
      </c>
      <c r="Q24" s="15">
        <f t="shared" si="5"/>
        <v>6</v>
      </c>
      <c r="R24" s="15">
        <f t="shared" si="5"/>
        <v>0</v>
      </c>
      <c r="S24" s="17"/>
      <c r="T24" s="18">
        <f t="shared" si="5"/>
        <v>31</v>
      </c>
      <c r="U24" s="138">
        <f t="shared" si="5"/>
        <v>31</v>
      </c>
      <c r="V24" s="15">
        <f t="shared" si="5"/>
        <v>0</v>
      </c>
      <c r="W24" s="15">
        <f t="shared" si="5"/>
        <v>0</v>
      </c>
      <c r="X24" s="15">
        <f t="shared" si="5"/>
        <v>0</v>
      </c>
      <c r="Y24" s="15">
        <f t="shared" si="5"/>
        <v>31</v>
      </c>
      <c r="Z24" s="15">
        <f t="shared" si="5"/>
        <v>72</v>
      </c>
      <c r="AA24" s="15">
        <f t="shared" si="5"/>
        <v>40</v>
      </c>
      <c r="AB24" s="15">
        <f t="shared" si="5"/>
        <v>13</v>
      </c>
      <c r="AC24" s="17">
        <f t="shared" si="5"/>
        <v>31</v>
      </c>
      <c r="AD24" s="25">
        <f t="shared" si="5"/>
        <v>2219</v>
      </c>
    </row>
    <row r="25" spans="1:30" ht="13.5">
      <c r="A25" s="14">
        <v>17</v>
      </c>
      <c r="B25" s="198" t="s">
        <v>40</v>
      </c>
      <c r="C25" s="200"/>
      <c r="D25" s="199"/>
      <c r="E25" s="15">
        <f>E24-E22-E13</f>
        <v>6</v>
      </c>
      <c r="F25" s="15">
        <f aca="true" t="shared" si="6" ref="F25:AD25">F24-F22-F13</f>
        <v>61</v>
      </c>
      <c r="G25" s="15">
        <f t="shared" si="6"/>
        <v>36</v>
      </c>
      <c r="H25" s="15">
        <f t="shared" si="6"/>
        <v>164</v>
      </c>
      <c r="I25" s="15">
        <f t="shared" si="6"/>
        <v>17</v>
      </c>
      <c r="J25" s="15">
        <f t="shared" si="6"/>
        <v>0</v>
      </c>
      <c r="K25" s="15">
        <f t="shared" si="6"/>
        <v>6</v>
      </c>
      <c r="L25" s="15">
        <f t="shared" si="6"/>
        <v>203</v>
      </c>
      <c r="M25" s="15">
        <f t="shared" si="6"/>
        <v>109</v>
      </c>
      <c r="N25" s="15">
        <f t="shared" si="6"/>
        <v>651</v>
      </c>
      <c r="O25" s="15">
        <f t="shared" si="6"/>
        <v>73</v>
      </c>
      <c r="P25" s="15">
        <f t="shared" si="6"/>
        <v>208</v>
      </c>
      <c r="Q25" s="15">
        <f t="shared" si="6"/>
        <v>6</v>
      </c>
      <c r="R25" s="15">
        <f t="shared" si="6"/>
        <v>0</v>
      </c>
      <c r="S25" s="17"/>
      <c r="T25" s="18">
        <f t="shared" si="6"/>
        <v>18</v>
      </c>
      <c r="U25" s="138">
        <f t="shared" si="6"/>
        <v>31</v>
      </c>
      <c r="V25" s="15">
        <f t="shared" si="6"/>
        <v>0</v>
      </c>
      <c r="W25" s="15">
        <f t="shared" si="6"/>
        <v>0</v>
      </c>
      <c r="X25" s="15">
        <f t="shared" si="6"/>
        <v>0</v>
      </c>
      <c r="Y25" s="15">
        <f t="shared" si="6"/>
        <v>27</v>
      </c>
      <c r="Z25" s="15">
        <f t="shared" si="6"/>
        <v>61</v>
      </c>
      <c r="AA25" s="15">
        <f t="shared" si="6"/>
        <v>40</v>
      </c>
      <c r="AB25" s="15">
        <f t="shared" si="6"/>
        <v>10</v>
      </c>
      <c r="AC25" s="17">
        <f t="shared" si="6"/>
        <v>26</v>
      </c>
      <c r="AD25" s="25">
        <f t="shared" si="6"/>
        <v>1753</v>
      </c>
    </row>
    <row r="26" spans="1:30" ht="13.5">
      <c r="A26" s="14">
        <v>18</v>
      </c>
      <c r="B26" s="198" t="s">
        <v>41</v>
      </c>
      <c r="C26" s="200"/>
      <c r="D26" s="199"/>
      <c r="E26" s="29">
        <f>IF(E24=0,0,(E25+E16)/E24)</f>
        <v>0.6153846153846154</v>
      </c>
      <c r="F26" s="29">
        <f aca="true" t="shared" si="7" ref="F26:AD26">IF(F24=0,0,(F25+F16)/F24)</f>
        <v>0.9242424242424242</v>
      </c>
      <c r="G26" s="29">
        <f t="shared" si="7"/>
        <v>0.5306122448979592</v>
      </c>
      <c r="H26" s="29">
        <f t="shared" si="7"/>
        <v>0.900523560209424</v>
      </c>
      <c r="I26" s="29">
        <f t="shared" si="7"/>
        <v>1</v>
      </c>
      <c r="J26" s="29">
        <f t="shared" si="7"/>
        <v>0</v>
      </c>
      <c r="K26" s="29">
        <f t="shared" si="7"/>
        <v>0.5714285714285714</v>
      </c>
      <c r="L26" s="29">
        <f t="shared" si="7"/>
        <v>0.8925925925925926</v>
      </c>
      <c r="M26" s="29">
        <f t="shared" si="7"/>
        <v>0.8870967741935484</v>
      </c>
      <c r="N26" s="29">
        <f t="shared" si="7"/>
        <v>0.8617886178861789</v>
      </c>
      <c r="O26" s="29">
        <f t="shared" si="7"/>
        <v>0.9746835443037974</v>
      </c>
      <c r="P26" s="29">
        <f t="shared" si="7"/>
        <v>0.9585253456221198</v>
      </c>
      <c r="Q26" s="29">
        <f t="shared" si="7"/>
        <v>1</v>
      </c>
      <c r="R26" s="29">
        <f t="shared" si="7"/>
        <v>0</v>
      </c>
      <c r="S26" s="34"/>
      <c r="T26" s="178">
        <f t="shared" si="7"/>
        <v>0.5806451612903226</v>
      </c>
      <c r="U26" s="175">
        <f t="shared" si="7"/>
        <v>1</v>
      </c>
      <c r="V26" s="29">
        <f t="shared" si="7"/>
        <v>0</v>
      </c>
      <c r="W26" s="29">
        <f t="shared" si="7"/>
        <v>0</v>
      </c>
      <c r="X26" s="29">
        <f t="shared" si="7"/>
        <v>0</v>
      </c>
      <c r="Y26" s="29">
        <f t="shared" si="7"/>
        <v>0.9354838709677419</v>
      </c>
      <c r="Z26" s="29">
        <f t="shared" si="7"/>
        <v>0.9305555555555556</v>
      </c>
      <c r="AA26" s="29">
        <f t="shared" si="7"/>
        <v>1</v>
      </c>
      <c r="AB26" s="29">
        <f t="shared" si="7"/>
        <v>0.7692307692307693</v>
      </c>
      <c r="AC26" s="34">
        <f t="shared" si="7"/>
        <v>1</v>
      </c>
      <c r="AD26" s="37">
        <f t="shared" si="7"/>
        <v>0.8751689950428121</v>
      </c>
    </row>
    <row r="27" spans="1:30" ht="14.25" thickBot="1">
      <c r="A27" s="30">
        <v>19</v>
      </c>
      <c r="B27" s="210" t="s">
        <v>42</v>
      </c>
      <c r="C27" s="211"/>
      <c r="D27" s="212"/>
      <c r="E27" s="31">
        <f>+E23/E22</f>
        <v>201.14285714285714</v>
      </c>
      <c r="F27" s="31">
        <f aca="true" t="shared" si="8" ref="F27:AD27">+F23/F22</f>
        <v>37.4</v>
      </c>
      <c r="G27" s="31">
        <f t="shared" si="8"/>
        <v>83.06451612903226</v>
      </c>
      <c r="H27" s="31">
        <f t="shared" si="8"/>
        <v>55.65384615384615</v>
      </c>
      <c r="I27" s="31">
        <f t="shared" si="8"/>
        <v>17.428571428571427</v>
      </c>
      <c r="J27" s="31">
        <v>0</v>
      </c>
      <c r="K27" s="31">
        <f t="shared" si="8"/>
        <v>50.125</v>
      </c>
      <c r="L27" s="31">
        <f t="shared" si="8"/>
        <v>54.38709677419355</v>
      </c>
      <c r="M27" s="31">
        <f t="shared" si="8"/>
        <v>93.86666666666666</v>
      </c>
      <c r="N27" s="31">
        <f t="shared" si="8"/>
        <v>118.52380952380952</v>
      </c>
      <c r="O27" s="31">
        <f t="shared" si="8"/>
        <v>42.333333333333336</v>
      </c>
      <c r="P27" s="31">
        <f t="shared" si="8"/>
        <v>113.14285714285714</v>
      </c>
      <c r="Q27" s="31">
        <v>0</v>
      </c>
      <c r="R27" s="31">
        <v>0</v>
      </c>
      <c r="S27" s="35"/>
      <c r="T27" s="18">
        <f t="shared" si="8"/>
        <v>29.384615384615383</v>
      </c>
      <c r="U27" s="176" t="e">
        <f t="shared" si="8"/>
        <v>#DIV/0!</v>
      </c>
      <c r="V27" s="31">
        <v>0</v>
      </c>
      <c r="W27" s="31">
        <v>0</v>
      </c>
      <c r="X27" s="31">
        <v>0</v>
      </c>
      <c r="Y27" s="31">
        <f t="shared" si="8"/>
        <v>26.25</v>
      </c>
      <c r="Z27" s="31">
        <f t="shared" si="8"/>
        <v>69.27272727272727</v>
      </c>
      <c r="AA27" s="31" t="e">
        <f t="shared" si="8"/>
        <v>#DIV/0!</v>
      </c>
      <c r="AB27" s="31">
        <f t="shared" si="8"/>
        <v>11.666666666666666</v>
      </c>
      <c r="AC27" s="35">
        <f t="shared" si="8"/>
        <v>116.6</v>
      </c>
      <c r="AD27" s="38">
        <f t="shared" si="8"/>
        <v>90.43668122270742</v>
      </c>
    </row>
    <row r="28" ht="13.5" thickTop="1"/>
  </sheetData>
  <mergeCells count="21">
    <mergeCell ref="B25:D25"/>
    <mergeCell ref="B26:D26"/>
    <mergeCell ref="B27:D27"/>
    <mergeCell ref="B14:B23"/>
    <mergeCell ref="C22:D22"/>
    <mergeCell ref="C23:D23"/>
    <mergeCell ref="B24:D2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A1:AD1"/>
    <mergeCell ref="A2:AD2"/>
    <mergeCell ref="A3:AD3"/>
    <mergeCell ref="B4:D4"/>
  </mergeCells>
  <printOptions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Q27" sqref="Q27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29.00390625" style="0" customWidth="1"/>
    <col min="4" max="4" width="12.421875" style="0" bestFit="1" customWidth="1"/>
    <col min="5" max="6" width="5.28125" style="0" bestFit="1" customWidth="1"/>
    <col min="7" max="8" width="6.00390625" style="0" bestFit="1" customWidth="1"/>
    <col min="9" max="9" width="6.28125" style="0" bestFit="1" customWidth="1"/>
    <col min="10" max="14" width="6.00390625" style="0" bestFit="1" customWidth="1"/>
    <col min="15" max="16" width="5.28125" style="0" bestFit="1" customWidth="1"/>
    <col min="17" max="17" width="6.28125" style="0" bestFit="1" customWidth="1"/>
    <col min="18" max="18" width="5.28125" style="0" customWidth="1"/>
    <col min="19" max="19" width="3.7109375" style="0" bestFit="1" customWidth="1"/>
    <col min="20" max="23" width="5.28125" style="0" bestFit="1" customWidth="1"/>
    <col min="24" max="24" width="6.00390625" style="0" bestFit="1" customWidth="1"/>
    <col min="25" max="29" width="5.28125" style="0" bestFit="1" customWidth="1"/>
    <col min="30" max="30" width="7.00390625" style="0" bestFit="1" customWidth="1"/>
    <col min="31" max="80" width="6.421875" style="0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3" t="s">
        <v>53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 thickTop="1">
      <c r="A4" s="1" t="s">
        <v>0</v>
      </c>
      <c r="B4" s="204" t="s">
        <v>1</v>
      </c>
      <c r="C4" s="205"/>
      <c r="D4" s="206"/>
      <c r="E4" s="2" t="s">
        <v>20</v>
      </c>
      <c r="F4" s="2" t="s">
        <v>48</v>
      </c>
      <c r="G4" s="2" t="s">
        <v>3</v>
      </c>
      <c r="H4" s="2" t="s">
        <v>49</v>
      </c>
      <c r="I4" s="2" t="s">
        <v>2</v>
      </c>
      <c r="J4" s="2" t="s">
        <v>19</v>
      </c>
      <c r="K4" s="32" t="s">
        <v>50</v>
      </c>
      <c r="L4" s="2" t="s">
        <v>15</v>
      </c>
      <c r="M4" s="2" t="s">
        <v>4</v>
      </c>
      <c r="N4" s="2" t="s">
        <v>5</v>
      </c>
      <c r="O4" s="2" t="s">
        <v>7</v>
      </c>
      <c r="P4" s="2" t="s">
        <v>6</v>
      </c>
      <c r="Q4" s="3" t="s">
        <v>8</v>
      </c>
      <c r="R4" s="3" t="s">
        <v>9</v>
      </c>
      <c r="S4" s="3" t="s">
        <v>54</v>
      </c>
      <c r="T4" s="2" t="s">
        <v>10</v>
      </c>
      <c r="U4" s="2" t="s">
        <v>17</v>
      </c>
      <c r="V4" s="3" t="s">
        <v>11</v>
      </c>
      <c r="W4" s="3" t="s">
        <v>12</v>
      </c>
      <c r="X4" s="3" t="s">
        <v>13</v>
      </c>
      <c r="Y4" s="3" t="s">
        <v>14</v>
      </c>
      <c r="Z4" s="3" t="s">
        <v>46</v>
      </c>
      <c r="AA4" s="3" t="s">
        <v>18</v>
      </c>
      <c r="AB4" s="3" t="s">
        <v>16</v>
      </c>
      <c r="AC4" s="3" t="s">
        <v>47</v>
      </c>
      <c r="AD4" s="4" t="s">
        <v>21</v>
      </c>
    </row>
    <row r="5" spans="1:30" ht="14.25" thickTop="1">
      <c r="A5" s="5">
        <v>1</v>
      </c>
      <c r="B5" s="196" t="s">
        <v>22</v>
      </c>
      <c r="C5" s="197"/>
      <c r="D5" s="195"/>
      <c r="E5" s="6">
        <v>13</v>
      </c>
      <c r="F5" s="6">
        <v>64</v>
      </c>
      <c r="G5" s="7">
        <v>101</v>
      </c>
      <c r="H5" s="7">
        <v>209</v>
      </c>
      <c r="I5" s="6">
        <v>30</v>
      </c>
      <c r="J5" s="6">
        <v>12</v>
      </c>
      <c r="K5" s="6">
        <v>13</v>
      </c>
      <c r="L5" s="6">
        <v>266</v>
      </c>
      <c r="M5" s="6">
        <v>120</v>
      </c>
      <c r="N5" s="6">
        <v>818</v>
      </c>
      <c r="O5" s="6">
        <v>77</v>
      </c>
      <c r="P5" s="6">
        <v>210</v>
      </c>
      <c r="Q5" s="6">
        <v>4</v>
      </c>
      <c r="R5" s="6">
        <v>30</v>
      </c>
      <c r="S5" s="8"/>
      <c r="T5" s="8">
        <v>30</v>
      </c>
      <c r="U5" s="10">
        <v>30</v>
      </c>
      <c r="V5" s="11">
        <v>26</v>
      </c>
      <c r="W5" s="10">
        <v>30</v>
      </c>
      <c r="X5" s="11">
        <v>9</v>
      </c>
      <c r="Y5" s="11">
        <v>31</v>
      </c>
      <c r="Z5" s="11">
        <v>85</v>
      </c>
      <c r="AA5" s="11">
        <v>32</v>
      </c>
      <c r="AB5" s="11">
        <v>13</v>
      </c>
      <c r="AC5" s="12">
        <v>30</v>
      </c>
      <c r="AD5" s="13">
        <f>SUM(E5:AC5)</f>
        <v>2283</v>
      </c>
    </row>
    <row r="6" spans="1:30" ht="13.5">
      <c r="A6" s="14">
        <v>2</v>
      </c>
      <c r="B6" s="198" t="s">
        <v>23</v>
      </c>
      <c r="C6" s="200"/>
      <c r="D6" s="199"/>
      <c r="E6" s="15"/>
      <c r="F6" s="15"/>
      <c r="G6" s="16"/>
      <c r="H6" s="16"/>
      <c r="I6" s="15"/>
      <c r="J6" s="15"/>
      <c r="K6" s="15">
        <v>1</v>
      </c>
      <c r="L6" s="15">
        <v>4</v>
      </c>
      <c r="M6" s="15"/>
      <c r="N6" s="15"/>
      <c r="O6" s="15"/>
      <c r="P6" s="15"/>
      <c r="Q6" s="15">
        <v>1</v>
      </c>
      <c r="R6" s="15"/>
      <c r="S6" s="17"/>
      <c r="T6" s="17"/>
      <c r="U6" s="19"/>
      <c r="V6" s="15"/>
      <c r="W6" s="19"/>
      <c r="X6" s="15"/>
      <c r="Y6" s="15"/>
      <c r="Z6" s="15"/>
      <c r="AA6" s="15"/>
      <c r="AB6" s="15"/>
      <c r="AC6" s="17"/>
      <c r="AD6" s="13">
        <f>SUM(E6:AC6)</f>
        <v>6</v>
      </c>
    </row>
    <row r="7" spans="1:30" ht="13.5">
      <c r="A7" s="14">
        <v>15</v>
      </c>
      <c r="B7" s="198" t="s">
        <v>38</v>
      </c>
      <c r="C7" s="200"/>
      <c r="D7" s="199"/>
      <c r="E7" s="15">
        <f>SUM(E5:E6)</f>
        <v>13</v>
      </c>
      <c r="F7" s="15">
        <f aca="true" t="shared" si="0" ref="F7:AD7">SUM(F5:F6)</f>
        <v>64</v>
      </c>
      <c r="G7" s="15">
        <f t="shared" si="0"/>
        <v>101</v>
      </c>
      <c r="H7" s="15">
        <f t="shared" si="0"/>
        <v>209</v>
      </c>
      <c r="I7" s="15">
        <f t="shared" si="0"/>
        <v>30</v>
      </c>
      <c r="J7" s="15">
        <f t="shared" si="0"/>
        <v>12</v>
      </c>
      <c r="K7" s="15">
        <f t="shared" si="0"/>
        <v>14</v>
      </c>
      <c r="L7" s="15">
        <f t="shared" si="0"/>
        <v>270</v>
      </c>
      <c r="M7" s="15">
        <f t="shared" si="0"/>
        <v>120</v>
      </c>
      <c r="N7" s="15">
        <f t="shared" si="0"/>
        <v>818</v>
      </c>
      <c r="O7" s="15">
        <f t="shared" si="0"/>
        <v>77</v>
      </c>
      <c r="P7" s="15">
        <f t="shared" si="0"/>
        <v>210</v>
      </c>
      <c r="Q7" s="15">
        <f t="shared" si="0"/>
        <v>5</v>
      </c>
      <c r="R7" s="15">
        <f t="shared" si="0"/>
        <v>30</v>
      </c>
      <c r="S7" s="15"/>
      <c r="T7" s="15">
        <f t="shared" si="0"/>
        <v>30</v>
      </c>
      <c r="U7" s="15">
        <f t="shared" si="0"/>
        <v>30</v>
      </c>
      <c r="V7" s="15">
        <f t="shared" si="0"/>
        <v>26</v>
      </c>
      <c r="W7" s="15">
        <f t="shared" si="0"/>
        <v>30</v>
      </c>
      <c r="X7" s="15">
        <f t="shared" si="0"/>
        <v>9</v>
      </c>
      <c r="Y7" s="15">
        <f t="shared" si="0"/>
        <v>31</v>
      </c>
      <c r="Z7" s="15">
        <f t="shared" si="0"/>
        <v>85</v>
      </c>
      <c r="AA7" s="15">
        <f t="shared" si="0"/>
        <v>32</v>
      </c>
      <c r="AB7" s="15">
        <f t="shared" si="0"/>
        <v>13</v>
      </c>
      <c r="AC7" s="17">
        <f t="shared" si="0"/>
        <v>30</v>
      </c>
      <c r="AD7" s="25">
        <f t="shared" si="0"/>
        <v>2289</v>
      </c>
    </row>
    <row r="8" spans="1:30" ht="13.5">
      <c r="A8" s="14">
        <v>3</v>
      </c>
      <c r="B8" s="207" t="s">
        <v>24</v>
      </c>
      <c r="C8" s="198" t="s">
        <v>25</v>
      </c>
      <c r="D8" s="199"/>
      <c r="E8" s="20"/>
      <c r="F8" s="20"/>
      <c r="G8" s="21"/>
      <c r="H8" s="21"/>
      <c r="I8" s="20"/>
      <c r="J8" s="20"/>
      <c r="K8" s="15"/>
      <c r="L8" s="15"/>
      <c r="M8" s="15"/>
      <c r="N8" s="20"/>
      <c r="O8" s="20"/>
      <c r="P8" s="20"/>
      <c r="Q8" s="20"/>
      <c r="R8" s="20"/>
      <c r="S8" s="22"/>
      <c r="T8" s="22"/>
      <c r="U8" s="23"/>
      <c r="V8" s="20"/>
      <c r="W8" s="23"/>
      <c r="X8" s="20"/>
      <c r="Y8" s="20"/>
      <c r="Z8" s="20"/>
      <c r="AA8" s="20"/>
      <c r="AB8" s="20"/>
      <c r="AC8" s="22"/>
      <c r="AD8" s="13">
        <f>SUM(E8:AC8)</f>
        <v>0</v>
      </c>
    </row>
    <row r="9" spans="1:30" ht="13.5">
      <c r="A9" s="14">
        <v>4</v>
      </c>
      <c r="B9" s="208"/>
      <c r="C9" s="198" t="s">
        <v>26</v>
      </c>
      <c r="D9" s="199"/>
      <c r="E9" s="15"/>
      <c r="F9" s="20"/>
      <c r="G9" s="21"/>
      <c r="H9" s="21"/>
      <c r="I9" s="20"/>
      <c r="J9" s="20"/>
      <c r="K9" s="20"/>
      <c r="L9" s="15">
        <v>2</v>
      </c>
      <c r="M9" s="15"/>
      <c r="N9" s="20"/>
      <c r="O9" s="20">
        <v>1</v>
      </c>
      <c r="P9" s="20"/>
      <c r="Q9" s="20"/>
      <c r="R9" s="20"/>
      <c r="S9" s="22"/>
      <c r="T9" s="22"/>
      <c r="U9" s="23"/>
      <c r="V9" s="20"/>
      <c r="W9" s="23"/>
      <c r="X9" s="20"/>
      <c r="Y9" s="20"/>
      <c r="Z9" s="20"/>
      <c r="AA9" s="20"/>
      <c r="AB9" s="20"/>
      <c r="AC9" s="22"/>
      <c r="AD9" s="13">
        <f>SUM(E9:AC9)</f>
        <v>3</v>
      </c>
    </row>
    <row r="10" spans="1:30" ht="13.5">
      <c r="A10" s="14">
        <v>5</v>
      </c>
      <c r="B10" s="208"/>
      <c r="C10" s="198" t="s">
        <v>27</v>
      </c>
      <c r="D10" s="199"/>
      <c r="E10" s="15"/>
      <c r="F10" s="20"/>
      <c r="G10" s="21"/>
      <c r="H10" s="21">
        <v>1</v>
      </c>
      <c r="I10" s="20"/>
      <c r="J10" s="20"/>
      <c r="K10" s="20"/>
      <c r="L10" s="15"/>
      <c r="M10" s="15"/>
      <c r="N10" s="20"/>
      <c r="O10" s="20"/>
      <c r="P10" s="20">
        <v>2</v>
      </c>
      <c r="Q10" s="20"/>
      <c r="R10" s="20"/>
      <c r="S10" s="22"/>
      <c r="T10" s="22"/>
      <c r="U10" s="23"/>
      <c r="V10" s="20"/>
      <c r="W10" s="23"/>
      <c r="X10" s="20"/>
      <c r="Y10" s="20"/>
      <c r="Z10" s="20"/>
      <c r="AA10" s="20"/>
      <c r="AB10" s="20"/>
      <c r="AC10" s="22"/>
      <c r="AD10" s="13">
        <f>SUM(E10:AC10)</f>
        <v>3</v>
      </c>
    </row>
    <row r="11" spans="1:30" ht="13.5">
      <c r="A11" s="14">
        <v>6</v>
      </c>
      <c r="B11" s="208"/>
      <c r="C11" s="198" t="s">
        <v>28</v>
      </c>
      <c r="D11" s="199"/>
      <c r="E11" s="15"/>
      <c r="F11" s="20"/>
      <c r="G11" s="21"/>
      <c r="H11" s="21"/>
      <c r="I11" s="20"/>
      <c r="J11" s="20"/>
      <c r="K11" s="15"/>
      <c r="L11" s="20"/>
      <c r="M11" s="20"/>
      <c r="N11" s="20"/>
      <c r="O11" s="20"/>
      <c r="P11" s="20"/>
      <c r="Q11" s="20"/>
      <c r="R11" s="20"/>
      <c r="S11" s="22"/>
      <c r="T11" s="22"/>
      <c r="U11" s="23"/>
      <c r="V11" s="20"/>
      <c r="W11" s="23"/>
      <c r="X11" s="20">
        <v>4</v>
      </c>
      <c r="Y11" s="20"/>
      <c r="Z11" s="20"/>
      <c r="AA11" s="20">
        <v>1</v>
      </c>
      <c r="AB11" s="20"/>
      <c r="AC11" s="22"/>
      <c r="AD11" s="13">
        <f>SUM(E11:AC11)</f>
        <v>5</v>
      </c>
    </row>
    <row r="12" spans="1:30" ht="13.5">
      <c r="A12" s="14">
        <v>7</v>
      </c>
      <c r="B12" s="208"/>
      <c r="C12" s="198" t="s">
        <v>29</v>
      </c>
      <c r="D12" s="199"/>
      <c r="E12" s="16">
        <f>E8+E9</f>
        <v>0</v>
      </c>
      <c r="F12" s="16">
        <f aca="true" t="shared" si="1" ref="F12:AD12">F8+F9</f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2</v>
      </c>
      <c r="M12" s="16">
        <f t="shared" si="1"/>
        <v>0</v>
      </c>
      <c r="N12" s="16">
        <f t="shared" si="1"/>
        <v>0</v>
      </c>
      <c r="O12" s="16">
        <f t="shared" si="1"/>
        <v>1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/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33">
        <f t="shared" si="1"/>
        <v>0</v>
      </c>
      <c r="AD12" s="36">
        <f t="shared" si="1"/>
        <v>3</v>
      </c>
    </row>
    <row r="13" spans="1:30" ht="13.5">
      <c r="A13" s="14">
        <v>8</v>
      </c>
      <c r="B13" s="209"/>
      <c r="C13" s="198" t="s">
        <v>30</v>
      </c>
      <c r="D13" s="199"/>
      <c r="E13" s="16">
        <f>E10+E11</f>
        <v>0</v>
      </c>
      <c r="F13" s="16">
        <f aca="true" t="shared" si="2" ref="F13:AD13">F10+F11</f>
        <v>0</v>
      </c>
      <c r="G13" s="16">
        <f t="shared" si="2"/>
        <v>0</v>
      </c>
      <c r="H13" s="16">
        <f t="shared" si="2"/>
        <v>1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2</v>
      </c>
      <c r="Q13" s="16">
        <f t="shared" si="2"/>
        <v>0</v>
      </c>
      <c r="R13" s="16">
        <f t="shared" si="2"/>
        <v>0</v>
      </c>
      <c r="S13" s="16"/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4</v>
      </c>
      <c r="Y13" s="16">
        <f t="shared" si="2"/>
        <v>0</v>
      </c>
      <c r="Z13" s="16">
        <f t="shared" si="2"/>
        <v>0</v>
      </c>
      <c r="AA13" s="16">
        <f t="shared" si="2"/>
        <v>1</v>
      </c>
      <c r="AB13" s="16">
        <f t="shared" si="2"/>
        <v>0</v>
      </c>
      <c r="AC13" s="33">
        <f t="shared" si="2"/>
        <v>0</v>
      </c>
      <c r="AD13" s="36">
        <f t="shared" si="2"/>
        <v>8</v>
      </c>
    </row>
    <row r="14" spans="1:30" ht="13.5">
      <c r="A14" s="14">
        <v>9</v>
      </c>
      <c r="B14" s="207" t="s">
        <v>31</v>
      </c>
      <c r="C14" s="24" t="s">
        <v>32</v>
      </c>
      <c r="D14" s="24" t="s">
        <v>33</v>
      </c>
      <c r="E14" s="15"/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7"/>
      <c r="U14" s="19"/>
      <c r="V14" s="15"/>
      <c r="W14" s="19"/>
      <c r="X14" s="15"/>
      <c r="Y14" s="15"/>
      <c r="Z14" s="15"/>
      <c r="AA14" s="15"/>
      <c r="AB14" s="15"/>
      <c r="AC14" s="17"/>
      <c r="AD14" s="25">
        <f>SUM(E14:AC14)</f>
        <v>0</v>
      </c>
    </row>
    <row r="15" spans="1:30" ht="13.5">
      <c r="A15" s="26"/>
      <c r="B15" s="208"/>
      <c r="C15" s="27"/>
      <c r="D15" s="24" t="s">
        <v>34</v>
      </c>
      <c r="E15" s="15"/>
      <c r="F15" s="16"/>
      <c r="G15" s="16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7"/>
      <c r="T15" s="17"/>
      <c r="U15" s="19"/>
      <c r="V15" s="15"/>
      <c r="W15" s="19"/>
      <c r="X15" s="15"/>
      <c r="Y15" s="15"/>
      <c r="Z15" s="15"/>
      <c r="AA15" s="15"/>
      <c r="AB15" s="15"/>
      <c r="AC15" s="17"/>
      <c r="AD15" s="25">
        <f aca="true" t="shared" si="3" ref="AD15:AD21">SUM(E15:AC15)</f>
        <v>0</v>
      </c>
    </row>
    <row r="16" spans="1:30" ht="13.5">
      <c r="A16" s="14">
        <v>10</v>
      </c>
      <c r="B16" s="208"/>
      <c r="C16" s="24" t="s">
        <v>26</v>
      </c>
      <c r="D16" s="24" t="s">
        <v>33</v>
      </c>
      <c r="E16" s="15"/>
      <c r="F16" s="15"/>
      <c r="G16" s="16">
        <v>12</v>
      </c>
      <c r="H16" s="16">
        <v>8</v>
      </c>
      <c r="I16" s="15">
        <v>10</v>
      </c>
      <c r="J16" s="15">
        <v>2</v>
      </c>
      <c r="K16" s="15">
        <v>1</v>
      </c>
      <c r="L16" s="15">
        <v>49</v>
      </c>
      <c r="M16" s="15"/>
      <c r="N16" s="15">
        <v>77</v>
      </c>
      <c r="O16" s="15">
        <v>7</v>
      </c>
      <c r="P16" s="15">
        <v>2</v>
      </c>
      <c r="Q16" s="15"/>
      <c r="R16" s="15"/>
      <c r="S16" s="17"/>
      <c r="T16" s="17"/>
      <c r="U16" s="19"/>
      <c r="V16" s="15"/>
      <c r="W16" s="19">
        <v>1</v>
      </c>
      <c r="X16" s="15"/>
      <c r="Y16" s="15">
        <v>1</v>
      </c>
      <c r="Z16" s="15">
        <v>14</v>
      </c>
      <c r="AA16" s="15">
        <v>2</v>
      </c>
      <c r="AB16" s="15"/>
      <c r="AC16" s="17">
        <v>2</v>
      </c>
      <c r="AD16" s="25">
        <f t="shared" si="3"/>
        <v>188</v>
      </c>
    </row>
    <row r="17" spans="1:30" ht="13.5">
      <c r="A17" s="14" t="s">
        <v>35</v>
      </c>
      <c r="B17" s="208"/>
      <c r="C17" s="27"/>
      <c r="D17" s="24" t="s">
        <v>34</v>
      </c>
      <c r="E17" s="15"/>
      <c r="F17" s="15"/>
      <c r="G17" s="16">
        <f>175+479</f>
        <v>654</v>
      </c>
      <c r="H17" s="16">
        <f>3*60+8</f>
        <v>188</v>
      </c>
      <c r="I17" s="16">
        <v>463</v>
      </c>
      <c r="J17" s="15">
        <v>63</v>
      </c>
      <c r="K17" s="15">
        <v>20</v>
      </c>
      <c r="L17" s="15">
        <f>41*60</f>
        <v>2460</v>
      </c>
      <c r="M17" s="15"/>
      <c r="N17" s="15">
        <f>44.9*60</f>
        <v>2694</v>
      </c>
      <c r="O17" s="15">
        <v>120</v>
      </c>
      <c r="P17" s="15">
        <f>1.4*60</f>
        <v>84</v>
      </c>
      <c r="Q17" s="15"/>
      <c r="R17" s="15"/>
      <c r="S17" s="17"/>
      <c r="T17" s="17"/>
      <c r="U17" s="19"/>
      <c r="V17" s="15"/>
      <c r="W17" s="19">
        <v>143</v>
      </c>
      <c r="X17" s="15"/>
      <c r="Y17" s="15">
        <v>30</v>
      </c>
      <c r="Z17" s="15">
        <f>7.7*60</f>
        <v>462</v>
      </c>
      <c r="AA17" s="15">
        <v>163</v>
      </c>
      <c r="AB17" s="15"/>
      <c r="AC17" s="17">
        <v>60</v>
      </c>
      <c r="AD17" s="25">
        <f t="shared" si="3"/>
        <v>7604</v>
      </c>
    </row>
    <row r="18" spans="1:30" ht="13.5">
      <c r="A18" s="14">
        <v>11</v>
      </c>
      <c r="B18" s="208"/>
      <c r="C18" s="24" t="s">
        <v>27</v>
      </c>
      <c r="D18" s="24" t="s">
        <v>33</v>
      </c>
      <c r="E18" s="15">
        <v>2</v>
      </c>
      <c r="F18" s="15">
        <v>2</v>
      </c>
      <c r="G18" s="16">
        <v>17</v>
      </c>
      <c r="H18" s="16">
        <v>7</v>
      </c>
      <c r="I18" s="15"/>
      <c r="J18" s="15">
        <v>1</v>
      </c>
      <c r="K18" s="15">
        <v>3</v>
      </c>
      <c r="L18" s="15">
        <v>14</v>
      </c>
      <c r="M18" s="15">
        <v>1</v>
      </c>
      <c r="N18" s="15">
        <v>50</v>
      </c>
      <c r="O18" s="15"/>
      <c r="P18" s="15">
        <v>2</v>
      </c>
      <c r="Q18" s="15"/>
      <c r="R18" s="15">
        <v>1</v>
      </c>
      <c r="S18" s="17"/>
      <c r="T18" s="17"/>
      <c r="U18" s="19">
        <v>1</v>
      </c>
      <c r="V18" s="15"/>
      <c r="W18" s="19"/>
      <c r="X18" s="15"/>
      <c r="Y18" s="15">
        <v>1</v>
      </c>
      <c r="Z18" s="15">
        <v>3</v>
      </c>
      <c r="AA18" s="15"/>
      <c r="AB18" s="15">
        <v>2</v>
      </c>
      <c r="AC18" s="17">
        <v>1</v>
      </c>
      <c r="AD18" s="25">
        <f t="shared" si="3"/>
        <v>108</v>
      </c>
    </row>
    <row r="19" spans="1:30" ht="14.25" thickBot="1">
      <c r="A19" s="26"/>
      <c r="B19" s="208"/>
      <c r="C19" s="27"/>
      <c r="D19" s="28" t="s">
        <v>34</v>
      </c>
      <c r="E19" s="15">
        <v>145</v>
      </c>
      <c r="F19" s="16">
        <v>679</v>
      </c>
      <c r="G19" s="16">
        <f>1557+3308</f>
        <v>4865</v>
      </c>
      <c r="H19" s="16">
        <f>22*60+14</f>
        <v>1334</v>
      </c>
      <c r="I19" s="16"/>
      <c r="J19" s="15">
        <f>60*14+23</f>
        <v>863</v>
      </c>
      <c r="K19" s="15">
        <f>23*60+10</f>
        <v>1390</v>
      </c>
      <c r="L19" s="15">
        <f>17*60</f>
        <v>1020</v>
      </c>
      <c r="M19" s="15">
        <v>42</v>
      </c>
      <c r="N19" s="15">
        <f>82.8*60</f>
        <v>4968</v>
      </c>
      <c r="O19" s="15"/>
      <c r="P19" s="15">
        <f>2.2*60</f>
        <v>132</v>
      </c>
      <c r="Q19" s="15"/>
      <c r="R19" s="15">
        <v>12</v>
      </c>
      <c r="S19" s="17"/>
      <c r="T19" s="17"/>
      <c r="U19" s="19">
        <v>15</v>
      </c>
      <c r="V19" s="15"/>
      <c r="W19" s="19"/>
      <c r="X19" s="15"/>
      <c r="Y19" s="15">
        <v>20</v>
      </c>
      <c r="Z19" s="15">
        <f>5.1*60</f>
        <v>306</v>
      </c>
      <c r="AA19" s="15"/>
      <c r="AB19" s="15">
        <v>113</v>
      </c>
      <c r="AC19" s="17">
        <v>25</v>
      </c>
      <c r="AD19" s="25">
        <f t="shared" si="3"/>
        <v>15929</v>
      </c>
    </row>
    <row r="20" spans="1:30" ht="14.25" thickTop="1">
      <c r="A20" s="14">
        <v>12</v>
      </c>
      <c r="B20" s="208"/>
      <c r="C20" s="24" t="s">
        <v>28</v>
      </c>
      <c r="D20" s="24" t="s">
        <v>33</v>
      </c>
      <c r="E20" s="15"/>
      <c r="F20" s="15">
        <v>4</v>
      </c>
      <c r="G20" s="16">
        <v>28</v>
      </c>
      <c r="H20" s="16">
        <v>10</v>
      </c>
      <c r="I20" s="15"/>
      <c r="J20" s="15">
        <v>3</v>
      </c>
      <c r="K20" s="15"/>
      <c r="L20" s="15">
        <v>3</v>
      </c>
      <c r="M20" s="15">
        <v>16</v>
      </c>
      <c r="N20" s="15">
        <v>22</v>
      </c>
      <c r="O20" s="15">
        <v>4</v>
      </c>
      <c r="P20" s="15"/>
      <c r="Q20" s="15"/>
      <c r="R20" s="15">
        <v>6</v>
      </c>
      <c r="S20" s="17"/>
      <c r="T20" s="17">
        <v>15</v>
      </c>
      <c r="U20" s="19"/>
      <c r="V20" s="15">
        <v>4</v>
      </c>
      <c r="W20" s="19">
        <v>3</v>
      </c>
      <c r="X20" s="15">
        <v>5</v>
      </c>
      <c r="Y20" s="15"/>
      <c r="Z20" s="15">
        <v>1</v>
      </c>
      <c r="AA20" s="15"/>
      <c r="AB20" s="15"/>
      <c r="AC20" s="17"/>
      <c r="AD20" s="25">
        <f t="shared" si="3"/>
        <v>124</v>
      </c>
    </row>
    <row r="21" spans="1:30" ht="13.5">
      <c r="A21" s="26"/>
      <c r="B21" s="208"/>
      <c r="C21" s="27"/>
      <c r="D21" s="24" t="s">
        <v>34</v>
      </c>
      <c r="E21" s="15"/>
      <c r="F21" s="16">
        <v>267</v>
      </c>
      <c r="G21" s="16">
        <f>1585+756</f>
        <v>2341</v>
      </c>
      <c r="H21" s="16">
        <f>4*60+37</f>
        <v>277</v>
      </c>
      <c r="I21" s="16"/>
      <c r="J21" s="15">
        <v>106</v>
      </c>
      <c r="K21" s="15"/>
      <c r="L21" s="15">
        <v>60</v>
      </c>
      <c r="M21" s="15">
        <v>1144</v>
      </c>
      <c r="N21" s="15">
        <f>16.6*60</f>
        <v>996.0000000000001</v>
      </c>
      <c r="O21" s="15">
        <v>82</v>
      </c>
      <c r="P21" s="15"/>
      <c r="Q21" s="15"/>
      <c r="R21" s="15">
        <v>184</v>
      </c>
      <c r="S21" s="17"/>
      <c r="T21" s="17">
        <v>478</v>
      </c>
      <c r="U21" s="19"/>
      <c r="V21" s="15">
        <v>359</v>
      </c>
      <c r="W21" s="19">
        <v>166</v>
      </c>
      <c r="X21" s="15">
        <v>1590</v>
      </c>
      <c r="Y21" s="15"/>
      <c r="Z21" s="15">
        <f>0.8*60</f>
        <v>48</v>
      </c>
      <c r="AA21" s="15"/>
      <c r="AB21" s="15"/>
      <c r="AC21" s="17"/>
      <c r="AD21" s="25">
        <f t="shared" si="3"/>
        <v>8098</v>
      </c>
    </row>
    <row r="22" spans="1:30" ht="13.5">
      <c r="A22" s="14">
        <v>13</v>
      </c>
      <c r="B22" s="208"/>
      <c r="C22" s="198" t="s">
        <v>36</v>
      </c>
      <c r="D22" s="199"/>
      <c r="E22" s="15">
        <f>E14+E16+E18+E20</f>
        <v>2</v>
      </c>
      <c r="F22" s="15">
        <f aca="true" t="shared" si="4" ref="F22:AD23">F14+F16+F18+F20</f>
        <v>6</v>
      </c>
      <c r="G22" s="15">
        <f t="shared" si="4"/>
        <v>57</v>
      </c>
      <c r="H22" s="15">
        <f t="shared" si="4"/>
        <v>25</v>
      </c>
      <c r="I22" s="15">
        <f t="shared" si="4"/>
        <v>10</v>
      </c>
      <c r="J22" s="15">
        <f t="shared" si="4"/>
        <v>6</v>
      </c>
      <c r="K22" s="15">
        <f t="shared" si="4"/>
        <v>4</v>
      </c>
      <c r="L22" s="15">
        <f t="shared" si="4"/>
        <v>66</v>
      </c>
      <c r="M22" s="15">
        <f t="shared" si="4"/>
        <v>17</v>
      </c>
      <c r="N22" s="15">
        <f t="shared" si="4"/>
        <v>149</v>
      </c>
      <c r="O22" s="15">
        <f t="shared" si="4"/>
        <v>11</v>
      </c>
      <c r="P22" s="15">
        <f t="shared" si="4"/>
        <v>4</v>
      </c>
      <c r="Q22" s="15">
        <f t="shared" si="4"/>
        <v>0</v>
      </c>
      <c r="R22" s="15">
        <f t="shared" si="4"/>
        <v>7</v>
      </c>
      <c r="S22" s="15"/>
      <c r="T22" s="15">
        <f t="shared" si="4"/>
        <v>15</v>
      </c>
      <c r="U22" s="15">
        <f t="shared" si="4"/>
        <v>1</v>
      </c>
      <c r="V22" s="15">
        <f t="shared" si="4"/>
        <v>4</v>
      </c>
      <c r="W22" s="15">
        <f t="shared" si="4"/>
        <v>4</v>
      </c>
      <c r="X22" s="15">
        <f t="shared" si="4"/>
        <v>5</v>
      </c>
      <c r="Y22" s="15">
        <f t="shared" si="4"/>
        <v>2</v>
      </c>
      <c r="Z22" s="15">
        <f t="shared" si="4"/>
        <v>18</v>
      </c>
      <c r="AA22" s="15">
        <f t="shared" si="4"/>
        <v>2</v>
      </c>
      <c r="AB22" s="15">
        <f t="shared" si="4"/>
        <v>2</v>
      </c>
      <c r="AC22" s="17">
        <f t="shared" si="4"/>
        <v>3</v>
      </c>
      <c r="AD22" s="25">
        <f t="shared" si="4"/>
        <v>420</v>
      </c>
    </row>
    <row r="23" spans="1:30" ht="13.5">
      <c r="A23" s="14">
        <v>14</v>
      </c>
      <c r="B23" s="209"/>
      <c r="C23" s="198" t="s">
        <v>37</v>
      </c>
      <c r="D23" s="199"/>
      <c r="E23" s="15">
        <f>E15+E17+E19+E21</f>
        <v>145</v>
      </c>
      <c r="F23" s="15">
        <f t="shared" si="4"/>
        <v>946</v>
      </c>
      <c r="G23" s="15">
        <f t="shared" si="4"/>
        <v>7860</v>
      </c>
      <c r="H23" s="15">
        <f t="shared" si="4"/>
        <v>1799</v>
      </c>
      <c r="I23" s="15">
        <f t="shared" si="4"/>
        <v>463</v>
      </c>
      <c r="J23" s="15">
        <f t="shared" si="4"/>
        <v>1032</v>
      </c>
      <c r="K23" s="15">
        <f t="shared" si="4"/>
        <v>1410</v>
      </c>
      <c r="L23" s="15">
        <f t="shared" si="4"/>
        <v>3540</v>
      </c>
      <c r="M23" s="15">
        <f t="shared" si="4"/>
        <v>1186</v>
      </c>
      <c r="N23" s="15">
        <f t="shared" si="4"/>
        <v>8658</v>
      </c>
      <c r="O23" s="15">
        <f t="shared" si="4"/>
        <v>202</v>
      </c>
      <c r="P23" s="15">
        <f t="shared" si="4"/>
        <v>216</v>
      </c>
      <c r="Q23" s="15">
        <f t="shared" si="4"/>
        <v>0</v>
      </c>
      <c r="R23" s="15">
        <f t="shared" si="4"/>
        <v>196</v>
      </c>
      <c r="S23" s="15"/>
      <c r="T23" s="15">
        <f t="shared" si="4"/>
        <v>478</v>
      </c>
      <c r="U23" s="15">
        <f t="shared" si="4"/>
        <v>15</v>
      </c>
      <c r="V23" s="15">
        <f t="shared" si="4"/>
        <v>359</v>
      </c>
      <c r="W23" s="15">
        <f t="shared" si="4"/>
        <v>309</v>
      </c>
      <c r="X23" s="15">
        <f t="shared" si="4"/>
        <v>1590</v>
      </c>
      <c r="Y23" s="15">
        <f t="shared" si="4"/>
        <v>50</v>
      </c>
      <c r="Z23" s="15">
        <f t="shared" si="4"/>
        <v>816</v>
      </c>
      <c r="AA23" s="15">
        <f t="shared" si="4"/>
        <v>163</v>
      </c>
      <c r="AB23" s="15">
        <f t="shared" si="4"/>
        <v>113</v>
      </c>
      <c r="AC23" s="17">
        <f t="shared" si="4"/>
        <v>85</v>
      </c>
      <c r="AD23" s="25">
        <f t="shared" si="4"/>
        <v>31631</v>
      </c>
    </row>
    <row r="24" spans="1:30" ht="13.5">
      <c r="A24" s="14">
        <v>16</v>
      </c>
      <c r="B24" s="198" t="s">
        <v>39</v>
      </c>
      <c r="C24" s="200"/>
      <c r="D24" s="199"/>
      <c r="E24" s="15">
        <f>E7-E12</f>
        <v>13</v>
      </c>
      <c r="F24" s="15">
        <f aca="true" t="shared" si="5" ref="F24:AD24">F7-F12</f>
        <v>64</v>
      </c>
      <c r="G24" s="15">
        <f t="shared" si="5"/>
        <v>101</v>
      </c>
      <c r="H24" s="15">
        <f t="shared" si="5"/>
        <v>209</v>
      </c>
      <c r="I24" s="15">
        <f t="shared" si="5"/>
        <v>30</v>
      </c>
      <c r="J24" s="15">
        <f t="shared" si="5"/>
        <v>12</v>
      </c>
      <c r="K24" s="15">
        <f t="shared" si="5"/>
        <v>14</v>
      </c>
      <c r="L24" s="15">
        <f t="shared" si="5"/>
        <v>268</v>
      </c>
      <c r="M24" s="15">
        <f t="shared" si="5"/>
        <v>120</v>
      </c>
      <c r="N24" s="15">
        <f t="shared" si="5"/>
        <v>818</v>
      </c>
      <c r="O24" s="15">
        <f t="shared" si="5"/>
        <v>76</v>
      </c>
      <c r="P24" s="15">
        <f t="shared" si="5"/>
        <v>210</v>
      </c>
      <c r="Q24" s="15">
        <f t="shared" si="5"/>
        <v>5</v>
      </c>
      <c r="R24" s="15">
        <f t="shared" si="5"/>
        <v>30</v>
      </c>
      <c r="S24" s="15"/>
      <c r="T24" s="15">
        <f t="shared" si="5"/>
        <v>30</v>
      </c>
      <c r="U24" s="15">
        <f t="shared" si="5"/>
        <v>30</v>
      </c>
      <c r="V24" s="15">
        <f t="shared" si="5"/>
        <v>26</v>
      </c>
      <c r="W24" s="15">
        <f t="shared" si="5"/>
        <v>30</v>
      </c>
      <c r="X24" s="15">
        <f t="shared" si="5"/>
        <v>9</v>
      </c>
      <c r="Y24" s="15">
        <f t="shared" si="5"/>
        <v>31</v>
      </c>
      <c r="Z24" s="15">
        <f t="shared" si="5"/>
        <v>85</v>
      </c>
      <c r="AA24" s="15">
        <f t="shared" si="5"/>
        <v>32</v>
      </c>
      <c r="AB24" s="15">
        <f t="shared" si="5"/>
        <v>13</v>
      </c>
      <c r="AC24" s="17">
        <f t="shared" si="5"/>
        <v>30</v>
      </c>
      <c r="AD24" s="25">
        <f t="shared" si="5"/>
        <v>2286</v>
      </c>
    </row>
    <row r="25" spans="1:30" ht="13.5">
      <c r="A25" s="14">
        <v>17</v>
      </c>
      <c r="B25" s="198" t="s">
        <v>40</v>
      </c>
      <c r="C25" s="200"/>
      <c r="D25" s="199"/>
      <c r="E25" s="15">
        <f>E24-E22-E13</f>
        <v>11</v>
      </c>
      <c r="F25" s="15">
        <f aca="true" t="shared" si="6" ref="F25:AD25">F24-F22-F13</f>
        <v>58</v>
      </c>
      <c r="G25" s="15">
        <f t="shared" si="6"/>
        <v>44</v>
      </c>
      <c r="H25" s="15">
        <f t="shared" si="6"/>
        <v>183</v>
      </c>
      <c r="I25" s="15">
        <f t="shared" si="6"/>
        <v>20</v>
      </c>
      <c r="J25" s="15">
        <f t="shared" si="6"/>
        <v>6</v>
      </c>
      <c r="K25" s="15">
        <f t="shared" si="6"/>
        <v>10</v>
      </c>
      <c r="L25" s="15">
        <f t="shared" si="6"/>
        <v>202</v>
      </c>
      <c r="M25" s="15">
        <f t="shared" si="6"/>
        <v>103</v>
      </c>
      <c r="N25" s="15">
        <f t="shared" si="6"/>
        <v>669</v>
      </c>
      <c r="O25" s="15">
        <f t="shared" si="6"/>
        <v>65</v>
      </c>
      <c r="P25" s="15">
        <f t="shared" si="6"/>
        <v>204</v>
      </c>
      <c r="Q25" s="15">
        <f t="shared" si="6"/>
        <v>5</v>
      </c>
      <c r="R25" s="15">
        <f t="shared" si="6"/>
        <v>23</v>
      </c>
      <c r="S25" s="15"/>
      <c r="T25" s="15">
        <f t="shared" si="6"/>
        <v>15</v>
      </c>
      <c r="U25" s="15">
        <f t="shared" si="6"/>
        <v>29</v>
      </c>
      <c r="V25" s="15">
        <f t="shared" si="6"/>
        <v>22</v>
      </c>
      <c r="W25" s="15">
        <f t="shared" si="6"/>
        <v>26</v>
      </c>
      <c r="X25" s="15">
        <f t="shared" si="6"/>
        <v>0</v>
      </c>
      <c r="Y25" s="15">
        <f t="shared" si="6"/>
        <v>29</v>
      </c>
      <c r="Z25" s="15">
        <f t="shared" si="6"/>
        <v>67</v>
      </c>
      <c r="AA25" s="15">
        <f t="shared" si="6"/>
        <v>29</v>
      </c>
      <c r="AB25" s="15">
        <f t="shared" si="6"/>
        <v>11</v>
      </c>
      <c r="AC25" s="17">
        <f t="shared" si="6"/>
        <v>27</v>
      </c>
      <c r="AD25" s="25">
        <f t="shared" si="6"/>
        <v>1858</v>
      </c>
    </row>
    <row r="26" spans="1:30" ht="13.5">
      <c r="A26" s="14">
        <v>18</v>
      </c>
      <c r="B26" s="198" t="s">
        <v>41</v>
      </c>
      <c r="C26" s="200"/>
      <c r="D26" s="199"/>
      <c r="E26" s="29">
        <f>IF(E24=0,0,(E25+E16)/E24)</f>
        <v>0.8461538461538461</v>
      </c>
      <c r="F26" s="29">
        <f aca="true" t="shared" si="7" ref="F26:AD26">IF(F24=0,0,(F25+F16)/F24)</f>
        <v>0.90625</v>
      </c>
      <c r="G26" s="29">
        <f t="shared" si="7"/>
        <v>0.5544554455445545</v>
      </c>
      <c r="H26" s="29">
        <f t="shared" si="7"/>
        <v>0.9138755980861244</v>
      </c>
      <c r="I26" s="29">
        <f t="shared" si="7"/>
        <v>1</v>
      </c>
      <c r="J26" s="29">
        <f t="shared" si="7"/>
        <v>0.6666666666666666</v>
      </c>
      <c r="K26" s="29">
        <f t="shared" si="7"/>
        <v>0.7857142857142857</v>
      </c>
      <c r="L26" s="29">
        <f t="shared" si="7"/>
        <v>0.9365671641791045</v>
      </c>
      <c r="M26" s="29">
        <f t="shared" si="7"/>
        <v>0.8583333333333333</v>
      </c>
      <c r="N26" s="29">
        <f t="shared" si="7"/>
        <v>0.9119804400977995</v>
      </c>
      <c r="O26" s="29">
        <f t="shared" si="7"/>
        <v>0.9473684210526315</v>
      </c>
      <c r="P26" s="29">
        <f t="shared" si="7"/>
        <v>0.9809523809523809</v>
      </c>
      <c r="Q26" s="29">
        <f t="shared" si="7"/>
        <v>1</v>
      </c>
      <c r="R26" s="29">
        <f t="shared" si="7"/>
        <v>0.7666666666666667</v>
      </c>
      <c r="S26" s="29"/>
      <c r="T26" s="29">
        <f t="shared" si="7"/>
        <v>0.5</v>
      </c>
      <c r="U26" s="29">
        <f t="shared" si="7"/>
        <v>0.9666666666666667</v>
      </c>
      <c r="V26" s="29">
        <f t="shared" si="7"/>
        <v>0.8461538461538461</v>
      </c>
      <c r="W26" s="29">
        <f t="shared" si="7"/>
        <v>0.9</v>
      </c>
      <c r="X26" s="29">
        <f t="shared" si="7"/>
        <v>0</v>
      </c>
      <c r="Y26" s="29">
        <f t="shared" si="7"/>
        <v>0.967741935483871</v>
      </c>
      <c r="Z26" s="29">
        <f t="shared" si="7"/>
        <v>0.9529411764705882</v>
      </c>
      <c r="AA26" s="29">
        <f t="shared" si="7"/>
        <v>0.96875</v>
      </c>
      <c r="AB26" s="29">
        <f t="shared" si="7"/>
        <v>0.8461538461538461</v>
      </c>
      <c r="AC26" s="34">
        <f t="shared" si="7"/>
        <v>0.9666666666666667</v>
      </c>
      <c r="AD26" s="37">
        <f t="shared" si="7"/>
        <v>0.89501312335958</v>
      </c>
    </row>
    <row r="27" spans="1:30" ht="14.25" thickBot="1">
      <c r="A27" s="30">
        <v>19</v>
      </c>
      <c r="B27" s="210" t="s">
        <v>42</v>
      </c>
      <c r="C27" s="211"/>
      <c r="D27" s="212"/>
      <c r="E27" s="31">
        <f>+E23/E22</f>
        <v>72.5</v>
      </c>
      <c r="F27" s="31">
        <f aca="true" t="shared" si="8" ref="F27:AD27">+F23/F22</f>
        <v>157.66666666666666</v>
      </c>
      <c r="G27" s="31">
        <f t="shared" si="8"/>
        <v>137.89473684210526</v>
      </c>
      <c r="H27" s="31">
        <f t="shared" si="8"/>
        <v>71.96</v>
      </c>
      <c r="I27" s="31">
        <f t="shared" si="8"/>
        <v>46.3</v>
      </c>
      <c r="J27" s="31">
        <f t="shared" si="8"/>
        <v>172</v>
      </c>
      <c r="K27" s="31">
        <f t="shared" si="8"/>
        <v>352.5</v>
      </c>
      <c r="L27" s="31">
        <f t="shared" si="8"/>
        <v>53.63636363636363</v>
      </c>
      <c r="M27" s="31">
        <f t="shared" si="8"/>
        <v>69.76470588235294</v>
      </c>
      <c r="N27" s="31">
        <f t="shared" si="8"/>
        <v>58.10738255033557</v>
      </c>
      <c r="O27" s="31">
        <f t="shared" si="8"/>
        <v>18.363636363636363</v>
      </c>
      <c r="P27" s="31">
        <f t="shared" si="8"/>
        <v>54</v>
      </c>
      <c r="Q27" s="31"/>
      <c r="R27" s="31">
        <f>+R23/R22</f>
        <v>28</v>
      </c>
      <c r="S27" s="31"/>
      <c r="T27" s="31">
        <f t="shared" si="8"/>
        <v>31.866666666666667</v>
      </c>
      <c r="U27" s="31">
        <f t="shared" si="8"/>
        <v>15</v>
      </c>
      <c r="V27" s="31">
        <f t="shared" si="8"/>
        <v>89.75</v>
      </c>
      <c r="W27" s="31">
        <f t="shared" si="8"/>
        <v>77.25</v>
      </c>
      <c r="X27" s="31">
        <f t="shared" si="8"/>
        <v>318</v>
      </c>
      <c r="Y27" s="31">
        <f t="shared" si="8"/>
        <v>25</v>
      </c>
      <c r="Z27" s="31">
        <f t="shared" si="8"/>
        <v>45.333333333333336</v>
      </c>
      <c r="AA27" s="31">
        <f t="shared" si="8"/>
        <v>81.5</v>
      </c>
      <c r="AB27" s="31">
        <f t="shared" si="8"/>
        <v>56.5</v>
      </c>
      <c r="AC27" s="35">
        <f t="shared" si="8"/>
        <v>28.333333333333332</v>
      </c>
      <c r="AD27" s="38">
        <f t="shared" si="8"/>
        <v>75.31190476190476</v>
      </c>
    </row>
    <row r="28" ht="13.5" thickTop="1"/>
  </sheetData>
  <mergeCells count="21">
    <mergeCell ref="B25:D25"/>
    <mergeCell ref="B26:D26"/>
    <mergeCell ref="B27:D27"/>
    <mergeCell ref="B14:B23"/>
    <mergeCell ref="C22:D22"/>
    <mergeCell ref="C23:D23"/>
    <mergeCell ref="B24:D2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A1:AD1"/>
    <mergeCell ref="A2:AD2"/>
    <mergeCell ref="A3:AD3"/>
    <mergeCell ref="B4:D4"/>
  </mergeCells>
  <printOptions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A2" sqref="A2:AD2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27.28125" style="0" customWidth="1"/>
    <col min="4" max="4" width="12.421875" style="0" bestFit="1" customWidth="1"/>
    <col min="5" max="8" width="5.28125" style="0" bestFit="1" customWidth="1"/>
    <col min="9" max="9" width="6.28125" style="0" bestFit="1" customWidth="1"/>
    <col min="10" max="11" width="5.28125" style="0" bestFit="1" customWidth="1"/>
    <col min="12" max="13" width="6.00390625" style="0" bestFit="1" customWidth="1"/>
    <col min="14" max="14" width="7.00390625" style="0" bestFit="1" customWidth="1"/>
    <col min="15" max="16" width="5.28125" style="0" bestFit="1" customWidth="1"/>
    <col min="17" max="17" width="9.140625" style="0" bestFit="1" customWidth="1"/>
    <col min="18" max="18" width="5.28125" style="0" bestFit="1" customWidth="1"/>
    <col min="19" max="19" width="3.7109375" style="0" bestFit="1" customWidth="1"/>
    <col min="20" max="23" width="5.28125" style="0" bestFit="1" customWidth="1"/>
    <col min="24" max="24" width="8.8515625" style="0" bestFit="1" customWidth="1"/>
    <col min="25" max="25" width="5.28125" style="0" bestFit="1" customWidth="1"/>
    <col min="26" max="26" width="6.00390625" style="0" bestFit="1" customWidth="1"/>
    <col min="27" max="28" width="5.28125" style="0" bestFit="1" customWidth="1"/>
    <col min="29" max="29" width="6.28125" style="0" bestFit="1" customWidth="1"/>
    <col min="30" max="30" width="7.00390625" style="0" bestFit="1" customWidth="1"/>
    <col min="31" max="80" width="6.421875" style="0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3" t="s">
        <v>55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 thickTop="1">
      <c r="A4" s="1" t="s">
        <v>0</v>
      </c>
      <c r="B4" s="204" t="s">
        <v>1</v>
      </c>
      <c r="C4" s="205"/>
      <c r="D4" s="206"/>
      <c r="E4" s="2" t="s">
        <v>20</v>
      </c>
      <c r="F4" s="2" t="s">
        <v>48</v>
      </c>
      <c r="G4" s="2" t="s">
        <v>3</v>
      </c>
      <c r="H4" s="2" t="s">
        <v>49</v>
      </c>
      <c r="I4" s="2" t="s">
        <v>2</v>
      </c>
      <c r="J4" s="2" t="s">
        <v>19</v>
      </c>
      <c r="K4" s="32" t="s">
        <v>50</v>
      </c>
      <c r="L4" s="2" t="s">
        <v>15</v>
      </c>
      <c r="M4" s="2" t="s">
        <v>4</v>
      </c>
      <c r="N4" s="2" t="s">
        <v>5</v>
      </c>
      <c r="O4" s="2" t="s">
        <v>7</v>
      </c>
      <c r="P4" s="2" t="s">
        <v>6</v>
      </c>
      <c r="Q4" s="3" t="s">
        <v>8</v>
      </c>
      <c r="R4" s="3" t="s">
        <v>9</v>
      </c>
      <c r="S4" s="3" t="s">
        <v>54</v>
      </c>
      <c r="T4" s="2" t="s">
        <v>10</v>
      </c>
      <c r="U4" s="2" t="s">
        <v>17</v>
      </c>
      <c r="V4" s="3" t="s">
        <v>11</v>
      </c>
      <c r="W4" s="3" t="s">
        <v>12</v>
      </c>
      <c r="X4" s="3" t="s">
        <v>13</v>
      </c>
      <c r="Y4" s="3" t="s">
        <v>14</v>
      </c>
      <c r="Z4" s="3" t="s">
        <v>46</v>
      </c>
      <c r="AA4" s="3" t="s">
        <v>18</v>
      </c>
      <c r="AB4" s="3" t="s">
        <v>16</v>
      </c>
      <c r="AC4" s="3" t="s">
        <v>47</v>
      </c>
      <c r="AD4" s="4" t="s">
        <v>21</v>
      </c>
    </row>
    <row r="5" spans="1:30" ht="14.25" thickTop="1">
      <c r="A5" s="5">
        <v>1</v>
      </c>
      <c r="B5" s="196" t="s">
        <v>22</v>
      </c>
      <c r="C5" s="197"/>
      <c r="D5" s="195"/>
      <c r="E5" s="6">
        <v>13</v>
      </c>
      <c r="F5" s="6">
        <v>68</v>
      </c>
      <c r="G5" s="7">
        <v>51</v>
      </c>
      <c r="H5" s="7">
        <v>214</v>
      </c>
      <c r="I5" s="6">
        <v>31</v>
      </c>
      <c r="J5" s="6">
        <v>14</v>
      </c>
      <c r="K5" s="6">
        <v>13</v>
      </c>
      <c r="L5" s="6">
        <v>272</v>
      </c>
      <c r="M5" s="6">
        <v>124</v>
      </c>
      <c r="N5" s="6">
        <v>818</v>
      </c>
      <c r="O5" s="6">
        <v>79</v>
      </c>
      <c r="P5" s="6">
        <v>217</v>
      </c>
      <c r="Q5" s="6">
        <v>4</v>
      </c>
      <c r="R5" s="6">
        <v>31</v>
      </c>
      <c r="S5" s="8"/>
      <c r="T5" s="8">
        <v>31</v>
      </c>
      <c r="U5" s="10">
        <v>31</v>
      </c>
      <c r="V5" s="11">
        <v>28</v>
      </c>
      <c r="W5" s="10">
        <v>31</v>
      </c>
      <c r="X5" s="11"/>
      <c r="Y5" s="11">
        <v>62</v>
      </c>
      <c r="Z5" s="11">
        <v>102</v>
      </c>
      <c r="AA5" s="11">
        <f>31+16</f>
        <v>47</v>
      </c>
      <c r="AB5" s="11">
        <v>13</v>
      </c>
      <c r="AC5" s="12">
        <v>31</v>
      </c>
      <c r="AD5" s="13">
        <f>SUM(E5:AC5)</f>
        <v>2325</v>
      </c>
    </row>
    <row r="6" spans="1:30" ht="13.5">
      <c r="A6" s="14">
        <v>2</v>
      </c>
      <c r="B6" s="198" t="s">
        <v>23</v>
      </c>
      <c r="C6" s="200"/>
      <c r="D6" s="199"/>
      <c r="E6" s="15"/>
      <c r="F6" s="15"/>
      <c r="G6" s="16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  <c r="T6" s="17"/>
      <c r="U6" s="19"/>
      <c r="V6" s="15"/>
      <c r="W6" s="19"/>
      <c r="X6" s="15"/>
      <c r="Y6" s="15"/>
      <c r="Z6" s="15"/>
      <c r="AA6" s="15"/>
      <c r="AB6" s="15"/>
      <c r="AC6" s="17"/>
      <c r="AD6" s="13">
        <f>SUM(E6:AC6)</f>
        <v>0</v>
      </c>
    </row>
    <row r="7" spans="1:30" ht="13.5">
      <c r="A7" s="14">
        <v>15</v>
      </c>
      <c r="B7" s="198" t="s">
        <v>38</v>
      </c>
      <c r="C7" s="200"/>
      <c r="D7" s="199"/>
      <c r="E7" s="15">
        <f>SUM(E5:E6)</f>
        <v>13</v>
      </c>
      <c r="F7" s="15">
        <f aca="true" t="shared" si="0" ref="F7:AD7">SUM(F5:F6)</f>
        <v>68</v>
      </c>
      <c r="G7" s="15">
        <f t="shared" si="0"/>
        <v>51</v>
      </c>
      <c r="H7" s="15">
        <f t="shared" si="0"/>
        <v>214</v>
      </c>
      <c r="I7" s="15">
        <f t="shared" si="0"/>
        <v>31</v>
      </c>
      <c r="J7" s="15">
        <f t="shared" si="0"/>
        <v>14</v>
      </c>
      <c r="K7" s="15">
        <f t="shared" si="0"/>
        <v>13</v>
      </c>
      <c r="L7" s="15">
        <f t="shared" si="0"/>
        <v>272</v>
      </c>
      <c r="M7" s="15">
        <f t="shared" si="0"/>
        <v>124</v>
      </c>
      <c r="N7" s="15">
        <f t="shared" si="0"/>
        <v>818</v>
      </c>
      <c r="O7" s="15">
        <f t="shared" si="0"/>
        <v>79</v>
      </c>
      <c r="P7" s="15">
        <f t="shared" si="0"/>
        <v>217</v>
      </c>
      <c r="Q7" s="15">
        <f t="shared" si="0"/>
        <v>4</v>
      </c>
      <c r="R7" s="15">
        <f t="shared" si="0"/>
        <v>31</v>
      </c>
      <c r="S7" s="15"/>
      <c r="T7" s="15">
        <f t="shared" si="0"/>
        <v>31</v>
      </c>
      <c r="U7" s="15">
        <f t="shared" si="0"/>
        <v>31</v>
      </c>
      <c r="V7" s="15">
        <f t="shared" si="0"/>
        <v>28</v>
      </c>
      <c r="W7" s="15">
        <f t="shared" si="0"/>
        <v>31</v>
      </c>
      <c r="X7" s="15">
        <f t="shared" si="0"/>
        <v>0</v>
      </c>
      <c r="Y7" s="15">
        <f t="shared" si="0"/>
        <v>62</v>
      </c>
      <c r="Z7" s="15">
        <f t="shared" si="0"/>
        <v>102</v>
      </c>
      <c r="AA7" s="15">
        <f t="shared" si="0"/>
        <v>47</v>
      </c>
      <c r="AB7" s="15">
        <f t="shared" si="0"/>
        <v>13</v>
      </c>
      <c r="AC7" s="17">
        <f t="shared" si="0"/>
        <v>31</v>
      </c>
      <c r="AD7" s="25">
        <f t="shared" si="0"/>
        <v>2325</v>
      </c>
    </row>
    <row r="8" spans="1:30" ht="13.5">
      <c r="A8" s="14">
        <v>3</v>
      </c>
      <c r="B8" s="207" t="s">
        <v>24</v>
      </c>
      <c r="C8" s="198" t="s">
        <v>25</v>
      </c>
      <c r="D8" s="199"/>
      <c r="E8" s="20"/>
      <c r="F8" s="20"/>
      <c r="G8" s="21"/>
      <c r="H8" s="21"/>
      <c r="I8" s="20"/>
      <c r="J8" s="20"/>
      <c r="K8" s="15"/>
      <c r="L8" s="15"/>
      <c r="M8" s="15"/>
      <c r="N8" s="20"/>
      <c r="O8" s="20"/>
      <c r="P8" s="20"/>
      <c r="Q8" s="20"/>
      <c r="R8" s="20"/>
      <c r="S8" s="22"/>
      <c r="T8" s="22"/>
      <c r="U8" s="23"/>
      <c r="V8" s="20"/>
      <c r="W8" s="23"/>
      <c r="X8" s="20"/>
      <c r="Y8" s="20"/>
      <c r="Z8" s="20"/>
      <c r="AA8" s="20"/>
      <c r="AB8" s="20"/>
      <c r="AC8" s="22"/>
      <c r="AD8" s="13">
        <f>SUM(E8:AC8)</f>
        <v>0</v>
      </c>
    </row>
    <row r="9" spans="1:30" ht="13.5">
      <c r="A9" s="14">
        <v>4</v>
      </c>
      <c r="B9" s="208"/>
      <c r="C9" s="198" t="s">
        <v>26</v>
      </c>
      <c r="D9" s="199"/>
      <c r="E9" s="15"/>
      <c r="F9" s="20"/>
      <c r="G9" s="21"/>
      <c r="H9" s="21"/>
      <c r="I9" s="20"/>
      <c r="J9" s="20"/>
      <c r="K9" s="20"/>
      <c r="L9" s="15"/>
      <c r="M9" s="15"/>
      <c r="N9" s="20"/>
      <c r="O9" s="20">
        <v>1</v>
      </c>
      <c r="P9" s="20"/>
      <c r="Q9" s="20"/>
      <c r="R9" s="20"/>
      <c r="S9" s="22"/>
      <c r="T9" s="22"/>
      <c r="U9" s="23"/>
      <c r="V9" s="20"/>
      <c r="W9" s="23"/>
      <c r="X9" s="20"/>
      <c r="Y9" s="20"/>
      <c r="Z9" s="20"/>
      <c r="AA9" s="20"/>
      <c r="AB9" s="20"/>
      <c r="AC9" s="22"/>
      <c r="AD9" s="13">
        <f>SUM(E9:AC9)</f>
        <v>1</v>
      </c>
    </row>
    <row r="10" spans="1:30" ht="13.5">
      <c r="A10" s="14">
        <v>5</v>
      </c>
      <c r="B10" s="208"/>
      <c r="C10" s="198" t="s">
        <v>27</v>
      </c>
      <c r="D10" s="199"/>
      <c r="E10" s="15"/>
      <c r="F10" s="20"/>
      <c r="G10" s="21"/>
      <c r="H10" s="21"/>
      <c r="I10" s="20"/>
      <c r="J10" s="20"/>
      <c r="K10" s="20"/>
      <c r="L10" s="15">
        <v>2</v>
      </c>
      <c r="M10" s="15"/>
      <c r="N10" s="20"/>
      <c r="O10" s="20"/>
      <c r="P10" s="20">
        <v>1</v>
      </c>
      <c r="Q10" s="20"/>
      <c r="R10" s="20"/>
      <c r="S10" s="22"/>
      <c r="T10" s="22"/>
      <c r="U10" s="23"/>
      <c r="V10" s="20">
        <v>1</v>
      </c>
      <c r="W10" s="23"/>
      <c r="X10" s="20"/>
      <c r="Y10" s="20"/>
      <c r="Z10" s="20">
        <v>1</v>
      </c>
      <c r="AA10" s="20"/>
      <c r="AB10" s="20"/>
      <c r="AC10" s="22"/>
      <c r="AD10" s="13">
        <f>SUM(E10:AC10)</f>
        <v>5</v>
      </c>
    </row>
    <row r="11" spans="1:30" ht="13.5">
      <c r="A11" s="14">
        <v>6</v>
      </c>
      <c r="B11" s="208"/>
      <c r="C11" s="198" t="s">
        <v>28</v>
      </c>
      <c r="D11" s="199"/>
      <c r="E11" s="15"/>
      <c r="F11" s="20"/>
      <c r="G11" s="21"/>
      <c r="H11" s="21"/>
      <c r="I11" s="20"/>
      <c r="J11" s="20"/>
      <c r="K11" s="15"/>
      <c r="L11" s="20"/>
      <c r="M11" s="20"/>
      <c r="N11" s="20"/>
      <c r="O11" s="20"/>
      <c r="P11" s="20"/>
      <c r="Q11" s="20"/>
      <c r="R11" s="20"/>
      <c r="S11" s="22"/>
      <c r="T11" s="22"/>
      <c r="U11" s="23"/>
      <c r="V11" s="20"/>
      <c r="W11" s="23"/>
      <c r="X11" s="20"/>
      <c r="Y11" s="20"/>
      <c r="Z11" s="20">
        <v>1</v>
      </c>
      <c r="AA11" s="20"/>
      <c r="AB11" s="20"/>
      <c r="AC11" s="22"/>
      <c r="AD11" s="13">
        <f>SUM(E11:AC11)</f>
        <v>1</v>
      </c>
    </row>
    <row r="12" spans="1:30" ht="13.5">
      <c r="A12" s="14">
        <v>7</v>
      </c>
      <c r="B12" s="208"/>
      <c r="C12" s="198" t="s">
        <v>29</v>
      </c>
      <c r="D12" s="199"/>
      <c r="E12" s="16">
        <f>E8+E9</f>
        <v>0</v>
      </c>
      <c r="F12" s="16">
        <f aca="true" t="shared" si="1" ref="F12:AD12">F8+F9</f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1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/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33">
        <f t="shared" si="1"/>
        <v>0</v>
      </c>
      <c r="AD12" s="36">
        <f t="shared" si="1"/>
        <v>1</v>
      </c>
    </row>
    <row r="13" spans="1:30" ht="13.5">
      <c r="A13" s="14">
        <v>8</v>
      </c>
      <c r="B13" s="209"/>
      <c r="C13" s="198" t="s">
        <v>30</v>
      </c>
      <c r="D13" s="199"/>
      <c r="E13" s="16">
        <f>E10+E11</f>
        <v>0</v>
      </c>
      <c r="F13" s="16">
        <f aca="true" t="shared" si="2" ref="F13:AD13">F10+F11</f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2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1</v>
      </c>
      <c r="Q13" s="16">
        <f t="shared" si="2"/>
        <v>0</v>
      </c>
      <c r="R13" s="16">
        <f t="shared" si="2"/>
        <v>0</v>
      </c>
      <c r="S13" s="16"/>
      <c r="T13" s="16">
        <f t="shared" si="2"/>
        <v>0</v>
      </c>
      <c r="U13" s="16">
        <f t="shared" si="2"/>
        <v>0</v>
      </c>
      <c r="V13" s="16">
        <f t="shared" si="2"/>
        <v>1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2</v>
      </c>
      <c r="AA13" s="16">
        <f t="shared" si="2"/>
        <v>0</v>
      </c>
      <c r="AB13" s="16">
        <f t="shared" si="2"/>
        <v>0</v>
      </c>
      <c r="AC13" s="33">
        <f t="shared" si="2"/>
        <v>0</v>
      </c>
      <c r="AD13" s="36">
        <f t="shared" si="2"/>
        <v>6</v>
      </c>
    </row>
    <row r="14" spans="1:30" ht="13.5">
      <c r="A14" s="14">
        <v>9</v>
      </c>
      <c r="B14" s="207" t="s">
        <v>31</v>
      </c>
      <c r="C14" s="24" t="s">
        <v>32</v>
      </c>
      <c r="D14" s="24" t="s">
        <v>33</v>
      </c>
      <c r="E14" s="15"/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7"/>
      <c r="U14" s="19"/>
      <c r="V14" s="15"/>
      <c r="W14" s="19"/>
      <c r="X14" s="15"/>
      <c r="Y14" s="15"/>
      <c r="Z14" s="15"/>
      <c r="AA14" s="15"/>
      <c r="AB14" s="15"/>
      <c r="AC14" s="17"/>
      <c r="AD14" s="25">
        <f>SUM(E14:AC14)</f>
        <v>0</v>
      </c>
    </row>
    <row r="15" spans="1:30" ht="13.5">
      <c r="A15" s="26"/>
      <c r="B15" s="208"/>
      <c r="C15" s="27"/>
      <c r="D15" s="24" t="s">
        <v>34</v>
      </c>
      <c r="E15" s="15"/>
      <c r="F15" s="16"/>
      <c r="G15" s="16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7"/>
      <c r="T15" s="17"/>
      <c r="U15" s="19"/>
      <c r="V15" s="15"/>
      <c r="W15" s="19"/>
      <c r="X15" s="15"/>
      <c r="Y15" s="15"/>
      <c r="Z15" s="15"/>
      <c r="AA15" s="15"/>
      <c r="AB15" s="15"/>
      <c r="AC15" s="17"/>
      <c r="AD15" s="25">
        <f aca="true" t="shared" si="3" ref="AD15:AD21">SUM(E15:AC15)</f>
        <v>0</v>
      </c>
    </row>
    <row r="16" spans="1:30" ht="13.5">
      <c r="A16" s="14">
        <v>10</v>
      </c>
      <c r="B16" s="208"/>
      <c r="C16" s="24" t="s">
        <v>26</v>
      </c>
      <c r="D16" s="24" t="s">
        <v>33</v>
      </c>
      <c r="E16" s="15">
        <v>4</v>
      </c>
      <c r="F16" s="15">
        <v>1</v>
      </c>
      <c r="G16" s="16">
        <v>3</v>
      </c>
      <c r="H16" s="16">
        <v>11</v>
      </c>
      <c r="I16" s="15">
        <v>11</v>
      </c>
      <c r="J16" s="15">
        <v>1</v>
      </c>
      <c r="K16" s="15">
        <v>1</v>
      </c>
      <c r="L16" s="15">
        <v>16</v>
      </c>
      <c r="M16" s="15">
        <v>4</v>
      </c>
      <c r="N16" s="15">
        <v>86</v>
      </c>
      <c r="O16" s="15">
        <v>5</v>
      </c>
      <c r="P16" s="15"/>
      <c r="Q16" s="15"/>
      <c r="R16" s="15">
        <v>2</v>
      </c>
      <c r="S16" s="17"/>
      <c r="T16" s="17"/>
      <c r="U16" s="19">
        <v>2</v>
      </c>
      <c r="V16" s="15"/>
      <c r="W16" s="19">
        <v>1</v>
      </c>
      <c r="X16" s="15"/>
      <c r="Y16" s="15">
        <v>4</v>
      </c>
      <c r="Z16" s="15">
        <v>18</v>
      </c>
      <c r="AA16" s="15">
        <v>3</v>
      </c>
      <c r="AB16" s="15"/>
      <c r="AC16" s="17">
        <v>3</v>
      </c>
      <c r="AD16" s="25">
        <f t="shared" si="3"/>
        <v>176</v>
      </c>
    </row>
    <row r="17" spans="1:30" ht="13.5">
      <c r="A17" s="14" t="s">
        <v>35</v>
      </c>
      <c r="B17" s="208"/>
      <c r="C17" s="27"/>
      <c r="D17" s="24" t="s">
        <v>34</v>
      </c>
      <c r="E17" s="15">
        <v>37</v>
      </c>
      <c r="F17" s="15">
        <v>15</v>
      </c>
      <c r="G17" s="16">
        <v>56</v>
      </c>
      <c r="H17" s="16">
        <f>5*60+26</f>
        <v>326</v>
      </c>
      <c r="I17" s="16">
        <f>31*60+58</f>
        <v>1918</v>
      </c>
      <c r="J17" s="15">
        <v>6</v>
      </c>
      <c r="K17" s="15">
        <v>10</v>
      </c>
      <c r="L17" s="15">
        <f>18*60</f>
        <v>1080</v>
      </c>
      <c r="M17" s="15">
        <v>127</v>
      </c>
      <c r="N17" s="15">
        <f>64.8*60</f>
        <v>3888</v>
      </c>
      <c r="O17" s="15">
        <f>10*60+6</f>
        <v>606</v>
      </c>
      <c r="P17" s="15"/>
      <c r="Q17" s="15"/>
      <c r="R17" s="15">
        <v>6</v>
      </c>
      <c r="S17" s="17"/>
      <c r="T17" s="17"/>
      <c r="U17" s="19">
        <v>185</v>
      </c>
      <c r="V17" s="15"/>
      <c r="W17" s="19">
        <v>22</v>
      </c>
      <c r="X17" s="15"/>
      <c r="Y17" s="15">
        <v>127</v>
      </c>
      <c r="Z17" s="15">
        <f>60*11</f>
        <v>660</v>
      </c>
      <c r="AA17" s="15">
        <v>470</v>
      </c>
      <c r="AB17" s="15"/>
      <c r="AC17" s="17">
        <v>145</v>
      </c>
      <c r="AD17" s="25">
        <f t="shared" si="3"/>
        <v>9684</v>
      </c>
    </row>
    <row r="18" spans="1:30" ht="13.5">
      <c r="A18" s="14">
        <v>11</v>
      </c>
      <c r="B18" s="208"/>
      <c r="C18" s="24" t="s">
        <v>27</v>
      </c>
      <c r="D18" s="24" t="s">
        <v>33</v>
      </c>
      <c r="E18" s="15"/>
      <c r="F18" s="15"/>
      <c r="G18" s="16"/>
      <c r="H18" s="16">
        <v>3</v>
      </c>
      <c r="I18" s="15"/>
      <c r="J18" s="15"/>
      <c r="K18" s="15"/>
      <c r="L18" s="15">
        <v>25</v>
      </c>
      <c r="M18" s="15">
        <v>4</v>
      </c>
      <c r="N18" s="15">
        <v>59</v>
      </c>
      <c r="O18" s="15"/>
      <c r="P18" s="15">
        <v>2</v>
      </c>
      <c r="Q18" s="15"/>
      <c r="R18" s="15"/>
      <c r="S18" s="17"/>
      <c r="T18" s="17"/>
      <c r="U18" s="19"/>
      <c r="V18" s="15">
        <v>1</v>
      </c>
      <c r="W18" s="19">
        <v>1</v>
      </c>
      <c r="X18" s="15"/>
      <c r="Y18" s="15">
        <v>3</v>
      </c>
      <c r="Z18" s="15">
        <v>3</v>
      </c>
      <c r="AA18" s="15"/>
      <c r="AB18" s="15">
        <v>1</v>
      </c>
      <c r="AC18" s="17"/>
      <c r="AD18" s="25">
        <f t="shared" si="3"/>
        <v>102</v>
      </c>
    </row>
    <row r="19" spans="1:30" ht="13.5">
      <c r="A19" s="26"/>
      <c r="B19" s="208"/>
      <c r="C19" s="27"/>
      <c r="D19" s="24" t="s">
        <v>34</v>
      </c>
      <c r="E19" s="15"/>
      <c r="F19" s="16"/>
      <c r="G19" s="16"/>
      <c r="H19" s="16">
        <f>3*60+30</f>
        <v>210</v>
      </c>
      <c r="I19" s="16"/>
      <c r="J19" s="15"/>
      <c r="K19" s="15"/>
      <c r="L19" s="15">
        <f>32.2*60</f>
        <v>1932.0000000000002</v>
      </c>
      <c r="M19" s="15">
        <v>1101</v>
      </c>
      <c r="N19" s="15">
        <f>101.7*60</f>
        <v>6102</v>
      </c>
      <c r="O19" s="15"/>
      <c r="P19" s="15">
        <f>0.3*60</f>
        <v>18</v>
      </c>
      <c r="Q19" s="15"/>
      <c r="R19" s="15"/>
      <c r="S19" s="17"/>
      <c r="T19" s="17"/>
      <c r="U19" s="19"/>
      <c r="V19" s="15">
        <f>3*60+20</f>
        <v>200</v>
      </c>
      <c r="W19" s="19">
        <v>95</v>
      </c>
      <c r="X19" s="15"/>
      <c r="Y19" s="15">
        <v>120</v>
      </c>
      <c r="Z19" s="15">
        <f>7.5*60</f>
        <v>450</v>
      </c>
      <c r="AA19" s="15"/>
      <c r="AB19" s="15">
        <v>10</v>
      </c>
      <c r="AC19" s="17"/>
      <c r="AD19" s="25">
        <f t="shared" si="3"/>
        <v>10238</v>
      </c>
    </row>
    <row r="20" spans="1:30" ht="13.5">
      <c r="A20" s="14">
        <v>12</v>
      </c>
      <c r="B20" s="208"/>
      <c r="C20" s="24" t="s">
        <v>28</v>
      </c>
      <c r="D20" s="24" t="s">
        <v>33</v>
      </c>
      <c r="E20" s="15">
        <v>1</v>
      </c>
      <c r="F20" s="15">
        <v>6</v>
      </c>
      <c r="G20" s="16">
        <v>15</v>
      </c>
      <c r="H20" s="16">
        <v>10</v>
      </c>
      <c r="I20" s="15"/>
      <c r="J20" s="15">
        <v>10</v>
      </c>
      <c r="K20" s="15">
        <v>1</v>
      </c>
      <c r="L20" s="15">
        <v>2</v>
      </c>
      <c r="M20" s="15">
        <v>12</v>
      </c>
      <c r="N20" s="15">
        <v>27</v>
      </c>
      <c r="O20" s="15">
        <v>1</v>
      </c>
      <c r="P20" s="15"/>
      <c r="Q20" s="15"/>
      <c r="R20" s="15">
        <v>3</v>
      </c>
      <c r="S20" s="17"/>
      <c r="T20" s="17">
        <v>7</v>
      </c>
      <c r="U20" s="19">
        <v>1</v>
      </c>
      <c r="V20" s="15">
        <v>3</v>
      </c>
      <c r="W20" s="19"/>
      <c r="X20" s="15"/>
      <c r="Y20" s="15">
        <v>1</v>
      </c>
      <c r="Z20" s="15">
        <v>1</v>
      </c>
      <c r="AA20" s="15">
        <v>1</v>
      </c>
      <c r="AB20" s="15"/>
      <c r="AC20" s="17"/>
      <c r="AD20" s="25">
        <f t="shared" si="3"/>
        <v>102</v>
      </c>
    </row>
    <row r="21" spans="1:30" ht="13.5">
      <c r="A21" s="26"/>
      <c r="B21" s="208"/>
      <c r="C21" s="27"/>
      <c r="D21" s="24" t="s">
        <v>34</v>
      </c>
      <c r="E21" s="15">
        <v>60</v>
      </c>
      <c r="F21" s="16">
        <v>166</v>
      </c>
      <c r="G21" s="16">
        <v>918</v>
      </c>
      <c r="H21" s="16">
        <f>3*60+13</f>
        <v>193</v>
      </c>
      <c r="I21" s="16"/>
      <c r="J21" s="15">
        <v>107</v>
      </c>
      <c r="K21" s="15">
        <v>10</v>
      </c>
      <c r="L21" s="15">
        <v>60</v>
      </c>
      <c r="M21" s="15">
        <v>514</v>
      </c>
      <c r="N21" s="15">
        <f>47*60</f>
        <v>2820</v>
      </c>
      <c r="O21" s="15">
        <v>1</v>
      </c>
      <c r="P21" s="15"/>
      <c r="Q21" s="15"/>
      <c r="R21" s="15">
        <v>20</v>
      </c>
      <c r="S21" s="17"/>
      <c r="T21" s="17">
        <v>293</v>
      </c>
      <c r="U21" s="19">
        <v>31</v>
      </c>
      <c r="V21" s="15">
        <f>3*60+42</f>
        <v>222</v>
      </c>
      <c r="W21" s="19"/>
      <c r="X21" s="15"/>
      <c r="Y21" s="15">
        <v>70</v>
      </c>
      <c r="Z21" s="15">
        <f>0.7*60</f>
        <v>42</v>
      </c>
      <c r="AA21" s="15">
        <v>87</v>
      </c>
      <c r="AB21" s="15"/>
      <c r="AC21" s="17"/>
      <c r="AD21" s="25">
        <f t="shared" si="3"/>
        <v>5614</v>
      </c>
    </row>
    <row r="22" spans="1:30" ht="13.5">
      <c r="A22" s="14">
        <v>13</v>
      </c>
      <c r="B22" s="208"/>
      <c r="C22" s="198" t="s">
        <v>36</v>
      </c>
      <c r="D22" s="199"/>
      <c r="E22" s="15">
        <f>E14+E16+E18+E20</f>
        <v>5</v>
      </c>
      <c r="F22" s="15">
        <f aca="true" t="shared" si="4" ref="F22:AD23">F14+F16+F18+F20</f>
        <v>7</v>
      </c>
      <c r="G22" s="15">
        <f t="shared" si="4"/>
        <v>18</v>
      </c>
      <c r="H22" s="15">
        <f t="shared" si="4"/>
        <v>24</v>
      </c>
      <c r="I22" s="15">
        <f t="shared" si="4"/>
        <v>11</v>
      </c>
      <c r="J22" s="15">
        <f t="shared" si="4"/>
        <v>11</v>
      </c>
      <c r="K22" s="15">
        <f t="shared" si="4"/>
        <v>2</v>
      </c>
      <c r="L22" s="15">
        <f t="shared" si="4"/>
        <v>43</v>
      </c>
      <c r="M22" s="15">
        <f t="shared" si="4"/>
        <v>20</v>
      </c>
      <c r="N22" s="15">
        <f t="shared" si="4"/>
        <v>172</v>
      </c>
      <c r="O22" s="15">
        <f t="shared" si="4"/>
        <v>6</v>
      </c>
      <c r="P22" s="15">
        <f t="shared" si="4"/>
        <v>2</v>
      </c>
      <c r="Q22" s="15">
        <f t="shared" si="4"/>
        <v>0</v>
      </c>
      <c r="R22" s="15">
        <f t="shared" si="4"/>
        <v>5</v>
      </c>
      <c r="S22" s="15"/>
      <c r="T22" s="15">
        <f t="shared" si="4"/>
        <v>7</v>
      </c>
      <c r="U22" s="15">
        <f t="shared" si="4"/>
        <v>3</v>
      </c>
      <c r="V22" s="15">
        <f t="shared" si="4"/>
        <v>4</v>
      </c>
      <c r="W22" s="15">
        <f t="shared" si="4"/>
        <v>2</v>
      </c>
      <c r="X22" s="15">
        <f t="shared" si="4"/>
        <v>0</v>
      </c>
      <c r="Y22" s="15">
        <f t="shared" si="4"/>
        <v>8</v>
      </c>
      <c r="Z22" s="15">
        <f t="shared" si="4"/>
        <v>22</v>
      </c>
      <c r="AA22" s="15">
        <f t="shared" si="4"/>
        <v>4</v>
      </c>
      <c r="AB22" s="15">
        <f t="shared" si="4"/>
        <v>1</v>
      </c>
      <c r="AC22" s="17">
        <f t="shared" si="4"/>
        <v>3</v>
      </c>
      <c r="AD22" s="25">
        <f t="shared" si="4"/>
        <v>380</v>
      </c>
    </row>
    <row r="23" spans="1:30" ht="13.5">
      <c r="A23" s="14">
        <v>14</v>
      </c>
      <c r="B23" s="209"/>
      <c r="C23" s="198" t="s">
        <v>37</v>
      </c>
      <c r="D23" s="199"/>
      <c r="E23" s="15">
        <f>E15+E17+E19+E21</f>
        <v>97</v>
      </c>
      <c r="F23" s="15">
        <f t="shared" si="4"/>
        <v>181</v>
      </c>
      <c r="G23" s="15">
        <f t="shared" si="4"/>
        <v>974</v>
      </c>
      <c r="H23" s="15">
        <f t="shared" si="4"/>
        <v>729</v>
      </c>
      <c r="I23" s="15">
        <f t="shared" si="4"/>
        <v>1918</v>
      </c>
      <c r="J23" s="15">
        <f t="shared" si="4"/>
        <v>113</v>
      </c>
      <c r="K23" s="15">
        <f t="shared" si="4"/>
        <v>20</v>
      </c>
      <c r="L23" s="15">
        <f t="shared" si="4"/>
        <v>3072</v>
      </c>
      <c r="M23" s="15">
        <f t="shared" si="4"/>
        <v>1742</v>
      </c>
      <c r="N23" s="15">
        <f t="shared" si="4"/>
        <v>12810</v>
      </c>
      <c r="O23" s="15">
        <f t="shared" si="4"/>
        <v>607</v>
      </c>
      <c r="P23" s="15">
        <f t="shared" si="4"/>
        <v>18</v>
      </c>
      <c r="Q23" s="15">
        <f t="shared" si="4"/>
        <v>0</v>
      </c>
      <c r="R23" s="15">
        <f t="shared" si="4"/>
        <v>26</v>
      </c>
      <c r="S23" s="15"/>
      <c r="T23" s="15">
        <f t="shared" si="4"/>
        <v>293</v>
      </c>
      <c r="U23" s="15">
        <f t="shared" si="4"/>
        <v>216</v>
      </c>
      <c r="V23" s="15">
        <f t="shared" si="4"/>
        <v>422</v>
      </c>
      <c r="W23" s="15">
        <f t="shared" si="4"/>
        <v>117</v>
      </c>
      <c r="X23" s="15">
        <f t="shared" si="4"/>
        <v>0</v>
      </c>
      <c r="Y23" s="15">
        <f t="shared" si="4"/>
        <v>317</v>
      </c>
      <c r="Z23" s="15">
        <f t="shared" si="4"/>
        <v>1152</v>
      </c>
      <c r="AA23" s="15">
        <f t="shared" si="4"/>
        <v>557</v>
      </c>
      <c r="AB23" s="15">
        <f t="shared" si="4"/>
        <v>10</v>
      </c>
      <c r="AC23" s="17">
        <f t="shared" si="4"/>
        <v>145</v>
      </c>
      <c r="AD23" s="25">
        <f t="shared" si="4"/>
        <v>25536</v>
      </c>
    </row>
    <row r="24" spans="1:30" ht="13.5">
      <c r="A24" s="14">
        <v>16</v>
      </c>
      <c r="B24" s="198" t="s">
        <v>39</v>
      </c>
      <c r="C24" s="200"/>
      <c r="D24" s="199"/>
      <c r="E24" s="15">
        <f>E7-E12</f>
        <v>13</v>
      </c>
      <c r="F24" s="15">
        <f aca="true" t="shared" si="5" ref="F24:AD24">F7-F12</f>
        <v>68</v>
      </c>
      <c r="G24" s="15">
        <f t="shared" si="5"/>
        <v>51</v>
      </c>
      <c r="H24" s="15">
        <f t="shared" si="5"/>
        <v>214</v>
      </c>
      <c r="I24" s="15">
        <f t="shared" si="5"/>
        <v>31</v>
      </c>
      <c r="J24" s="15">
        <f t="shared" si="5"/>
        <v>14</v>
      </c>
      <c r="K24" s="15">
        <f t="shared" si="5"/>
        <v>13</v>
      </c>
      <c r="L24" s="15">
        <f t="shared" si="5"/>
        <v>272</v>
      </c>
      <c r="M24" s="15">
        <f t="shared" si="5"/>
        <v>124</v>
      </c>
      <c r="N24" s="15">
        <f t="shared" si="5"/>
        <v>818</v>
      </c>
      <c r="O24" s="15">
        <f t="shared" si="5"/>
        <v>78</v>
      </c>
      <c r="P24" s="15">
        <f t="shared" si="5"/>
        <v>217</v>
      </c>
      <c r="Q24" s="15">
        <f t="shared" si="5"/>
        <v>4</v>
      </c>
      <c r="R24" s="15">
        <f t="shared" si="5"/>
        <v>31</v>
      </c>
      <c r="S24" s="15"/>
      <c r="T24" s="15">
        <f t="shared" si="5"/>
        <v>31</v>
      </c>
      <c r="U24" s="15">
        <f t="shared" si="5"/>
        <v>31</v>
      </c>
      <c r="V24" s="15">
        <f t="shared" si="5"/>
        <v>28</v>
      </c>
      <c r="W24" s="15">
        <f t="shared" si="5"/>
        <v>31</v>
      </c>
      <c r="X24" s="15">
        <f t="shared" si="5"/>
        <v>0</v>
      </c>
      <c r="Y24" s="15">
        <f t="shared" si="5"/>
        <v>62</v>
      </c>
      <c r="Z24" s="15">
        <f t="shared" si="5"/>
        <v>102</v>
      </c>
      <c r="AA24" s="15">
        <f t="shared" si="5"/>
        <v>47</v>
      </c>
      <c r="AB24" s="15">
        <f t="shared" si="5"/>
        <v>13</v>
      </c>
      <c r="AC24" s="17">
        <f t="shared" si="5"/>
        <v>31</v>
      </c>
      <c r="AD24" s="25">
        <f t="shared" si="5"/>
        <v>2324</v>
      </c>
    </row>
    <row r="25" spans="1:30" ht="13.5">
      <c r="A25" s="14">
        <v>17</v>
      </c>
      <c r="B25" s="198" t="s">
        <v>40</v>
      </c>
      <c r="C25" s="200"/>
      <c r="D25" s="199"/>
      <c r="E25" s="15">
        <f>E24-E22-E13</f>
        <v>8</v>
      </c>
      <c r="F25" s="15">
        <f aca="true" t="shared" si="6" ref="F25:AD25">F24-F22-F13</f>
        <v>61</v>
      </c>
      <c r="G25" s="15">
        <f t="shared" si="6"/>
        <v>33</v>
      </c>
      <c r="H25" s="15">
        <f t="shared" si="6"/>
        <v>190</v>
      </c>
      <c r="I25" s="15">
        <f t="shared" si="6"/>
        <v>20</v>
      </c>
      <c r="J25" s="15">
        <f t="shared" si="6"/>
        <v>3</v>
      </c>
      <c r="K25" s="15">
        <f t="shared" si="6"/>
        <v>11</v>
      </c>
      <c r="L25" s="15">
        <f t="shared" si="6"/>
        <v>227</v>
      </c>
      <c r="M25" s="15">
        <f t="shared" si="6"/>
        <v>104</v>
      </c>
      <c r="N25" s="15">
        <f t="shared" si="6"/>
        <v>646</v>
      </c>
      <c r="O25" s="15">
        <f t="shared" si="6"/>
        <v>72</v>
      </c>
      <c r="P25" s="15">
        <f t="shared" si="6"/>
        <v>214</v>
      </c>
      <c r="Q25" s="15">
        <f t="shared" si="6"/>
        <v>4</v>
      </c>
      <c r="R25" s="15">
        <f t="shared" si="6"/>
        <v>26</v>
      </c>
      <c r="S25" s="15"/>
      <c r="T25" s="15">
        <f t="shared" si="6"/>
        <v>24</v>
      </c>
      <c r="U25" s="15">
        <f t="shared" si="6"/>
        <v>28</v>
      </c>
      <c r="V25" s="15">
        <f t="shared" si="6"/>
        <v>23</v>
      </c>
      <c r="W25" s="15">
        <f t="shared" si="6"/>
        <v>29</v>
      </c>
      <c r="X25" s="15">
        <f t="shared" si="6"/>
        <v>0</v>
      </c>
      <c r="Y25" s="15">
        <f t="shared" si="6"/>
        <v>54</v>
      </c>
      <c r="Z25" s="15">
        <f t="shared" si="6"/>
        <v>78</v>
      </c>
      <c r="AA25" s="15">
        <f t="shared" si="6"/>
        <v>43</v>
      </c>
      <c r="AB25" s="15">
        <f t="shared" si="6"/>
        <v>12</v>
      </c>
      <c r="AC25" s="17">
        <f t="shared" si="6"/>
        <v>28</v>
      </c>
      <c r="AD25" s="25">
        <f t="shared" si="6"/>
        <v>1938</v>
      </c>
    </row>
    <row r="26" spans="1:30" ht="13.5">
      <c r="A26" s="14">
        <v>18</v>
      </c>
      <c r="B26" s="198" t="s">
        <v>41</v>
      </c>
      <c r="C26" s="200"/>
      <c r="D26" s="199"/>
      <c r="E26" s="29">
        <f>IF(E24=0,0,(E25+E16)/E24)</f>
        <v>0.9230769230769231</v>
      </c>
      <c r="F26" s="29">
        <f aca="true" t="shared" si="7" ref="F26:AD26">IF(F24=0,0,(F25+F16)/F24)</f>
        <v>0.9117647058823529</v>
      </c>
      <c r="G26" s="29">
        <f t="shared" si="7"/>
        <v>0.7058823529411765</v>
      </c>
      <c r="H26" s="29">
        <f t="shared" si="7"/>
        <v>0.9392523364485982</v>
      </c>
      <c r="I26" s="29">
        <f t="shared" si="7"/>
        <v>1</v>
      </c>
      <c r="J26" s="29">
        <f t="shared" si="7"/>
        <v>0.2857142857142857</v>
      </c>
      <c r="K26" s="29">
        <f t="shared" si="7"/>
        <v>0.9230769230769231</v>
      </c>
      <c r="L26" s="29">
        <f t="shared" si="7"/>
        <v>0.8933823529411765</v>
      </c>
      <c r="M26" s="29">
        <f t="shared" si="7"/>
        <v>0.8709677419354839</v>
      </c>
      <c r="N26" s="29">
        <f t="shared" si="7"/>
        <v>0.8948655256723717</v>
      </c>
      <c r="O26" s="29">
        <f t="shared" si="7"/>
        <v>0.9871794871794872</v>
      </c>
      <c r="P26" s="29">
        <f t="shared" si="7"/>
        <v>0.9861751152073732</v>
      </c>
      <c r="Q26" s="29">
        <f t="shared" si="7"/>
        <v>1</v>
      </c>
      <c r="R26" s="29">
        <f t="shared" si="7"/>
        <v>0.9032258064516129</v>
      </c>
      <c r="S26" s="29"/>
      <c r="T26" s="29">
        <f t="shared" si="7"/>
        <v>0.7741935483870968</v>
      </c>
      <c r="U26" s="29">
        <f t="shared" si="7"/>
        <v>0.967741935483871</v>
      </c>
      <c r="V26" s="29">
        <f t="shared" si="7"/>
        <v>0.8214285714285714</v>
      </c>
      <c r="W26" s="29">
        <f t="shared" si="7"/>
        <v>0.967741935483871</v>
      </c>
      <c r="X26" s="29">
        <f t="shared" si="7"/>
        <v>0</v>
      </c>
      <c r="Y26" s="29">
        <f t="shared" si="7"/>
        <v>0.9354838709677419</v>
      </c>
      <c r="Z26" s="29">
        <f t="shared" si="7"/>
        <v>0.9411764705882353</v>
      </c>
      <c r="AA26" s="29">
        <f t="shared" si="7"/>
        <v>0.9787234042553191</v>
      </c>
      <c r="AB26" s="29">
        <f t="shared" si="7"/>
        <v>0.9230769230769231</v>
      </c>
      <c r="AC26" s="34">
        <f t="shared" si="7"/>
        <v>1</v>
      </c>
      <c r="AD26" s="37">
        <f t="shared" si="7"/>
        <v>0.9096385542168675</v>
      </c>
    </row>
    <row r="27" spans="1:30" ht="14.25" thickBot="1">
      <c r="A27" s="30">
        <v>19</v>
      </c>
      <c r="B27" s="210" t="s">
        <v>42</v>
      </c>
      <c r="C27" s="211"/>
      <c r="D27" s="212"/>
      <c r="E27" s="31">
        <f>+E23/E22</f>
        <v>19.4</v>
      </c>
      <c r="F27" s="31">
        <f aca="true" t="shared" si="8" ref="F27:AD27">+F23/F22</f>
        <v>25.857142857142858</v>
      </c>
      <c r="G27" s="31">
        <f t="shared" si="8"/>
        <v>54.111111111111114</v>
      </c>
      <c r="H27" s="31">
        <f t="shared" si="8"/>
        <v>30.375</v>
      </c>
      <c r="I27" s="31">
        <f t="shared" si="8"/>
        <v>174.36363636363637</v>
      </c>
      <c r="J27" s="31">
        <f t="shared" si="8"/>
        <v>10.272727272727273</v>
      </c>
      <c r="K27" s="31">
        <f t="shared" si="8"/>
        <v>10</v>
      </c>
      <c r="L27" s="31">
        <f t="shared" si="8"/>
        <v>71.44186046511628</v>
      </c>
      <c r="M27" s="31">
        <f t="shared" si="8"/>
        <v>87.1</v>
      </c>
      <c r="N27" s="31">
        <f t="shared" si="8"/>
        <v>74.47674418604652</v>
      </c>
      <c r="O27" s="31">
        <f t="shared" si="8"/>
        <v>101.16666666666667</v>
      </c>
      <c r="P27" s="31">
        <f t="shared" si="8"/>
        <v>9</v>
      </c>
      <c r="Q27" s="31" t="e">
        <f t="shared" si="8"/>
        <v>#DIV/0!</v>
      </c>
      <c r="R27" s="31">
        <f>+R23/R22</f>
        <v>5.2</v>
      </c>
      <c r="S27" s="31"/>
      <c r="T27" s="31">
        <f t="shared" si="8"/>
        <v>41.857142857142854</v>
      </c>
      <c r="U27" s="31">
        <f t="shared" si="8"/>
        <v>72</v>
      </c>
      <c r="V27" s="31">
        <f t="shared" si="8"/>
        <v>105.5</v>
      </c>
      <c r="W27" s="31">
        <f t="shared" si="8"/>
        <v>58.5</v>
      </c>
      <c r="X27" s="31" t="e">
        <f t="shared" si="8"/>
        <v>#DIV/0!</v>
      </c>
      <c r="Y27" s="31">
        <f t="shared" si="8"/>
        <v>39.625</v>
      </c>
      <c r="Z27" s="31">
        <f t="shared" si="8"/>
        <v>52.36363636363637</v>
      </c>
      <c r="AA27" s="31">
        <f t="shared" si="8"/>
        <v>139.25</v>
      </c>
      <c r="AB27" s="31">
        <f t="shared" si="8"/>
        <v>10</v>
      </c>
      <c r="AC27" s="35">
        <f t="shared" si="8"/>
        <v>48.333333333333336</v>
      </c>
      <c r="AD27" s="38">
        <f t="shared" si="8"/>
        <v>67.2</v>
      </c>
    </row>
    <row r="28" ht="13.5" thickTop="1"/>
  </sheetData>
  <mergeCells count="21">
    <mergeCell ref="B25:D25"/>
    <mergeCell ref="B26:D26"/>
    <mergeCell ref="B27:D27"/>
    <mergeCell ref="B14:B23"/>
    <mergeCell ref="C22:D22"/>
    <mergeCell ref="C23:D23"/>
    <mergeCell ref="B24:D2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A1:AD1"/>
    <mergeCell ref="A2:AD2"/>
    <mergeCell ref="A3:AD3"/>
    <mergeCell ref="B4:D4"/>
  </mergeCells>
  <printOptions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A2" sqref="A2:AD2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5" width="5.28125" style="0" bestFit="1" customWidth="1"/>
    <col min="6" max="8" width="6.00390625" style="0" bestFit="1" customWidth="1"/>
    <col min="9" max="9" width="6.28125" style="0" bestFit="1" customWidth="1"/>
    <col min="10" max="14" width="6.00390625" style="0" bestFit="1" customWidth="1"/>
    <col min="15" max="15" width="5.28125" style="0" bestFit="1" customWidth="1"/>
    <col min="16" max="16" width="6.28125" style="0" bestFit="1" customWidth="1"/>
    <col min="17" max="17" width="5.7109375" style="0" customWidth="1"/>
    <col min="18" max="18" width="6.00390625" style="0" bestFit="1" customWidth="1"/>
    <col min="19" max="19" width="5.28125" style="0" customWidth="1"/>
    <col min="20" max="22" width="5.28125" style="0" bestFit="1" customWidth="1"/>
    <col min="23" max="23" width="6.28125" style="0" customWidth="1"/>
    <col min="24" max="24" width="2.140625" style="0" hidden="1" customWidth="1"/>
    <col min="25" max="25" width="6.00390625" style="0" bestFit="1" customWidth="1"/>
    <col min="26" max="29" width="5.28125" style="0" bestFit="1" customWidth="1"/>
    <col min="30" max="30" width="7.00390625" style="0" bestFit="1" customWidth="1"/>
    <col min="31" max="80" width="6.421875" style="0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3" t="s">
        <v>56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 thickTop="1">
      <c r="A4" s="1" t="s">
        <v>0</v>
      </c>
      <c r="B4" s="204" t="s">
        <v>1</v>
      </c>
      <c r="C4" s="205"/>
      <c r="D4" s="206"/>
      <c r="E4" s="2" t="s">
        <v>20</v>
      </c>
      <c r="F4" s="2" t="s">
        <v>48</v>
      </c>
      <c r="G4" s="2" t="s">
        <v>3</v>
      </c>
      <c r="H4" s="2" t="s">
        <v>49</v>
      </c>
      <c r="I4" s="2" t="s">
        <v>2</v>
      </c>
      <c r="J4" s="2" t="s">
        <v>19</v>
      </c>
      <c r="K4" s="32" t="s">
        <v>50</v>
      </c>
      <c r="L4" s="2" t="s">
        <v>15</v>
      </c>
      <c r="M4" s="2" t="s">
        <v>4</v>
      </c>
      <c r="N4" s="2" t="s">
        <v>5</v>
      </c>
      <c r="O4" s="2" t="s">
        <v>7</v>
      </c>
      <c r="P4" s="2" t="s">
        <v>6</v>
      </c>
      <c r="Q4" s="3" t="s">
        <v>8</v>
      </c>
      <c r="R4" s="3" t="s">
        <v>9</v>
      </c>
      <c r="S4" s="3" t="s">
        <v>54</v>
      </c>
      <c r="T4" s="2" t="s">
        <v>10</v>
      </c>
      <c r="U4" s="2" t="s">
        <v>17</v>
      </c>
      <c r="V4" s="3" t="s">
        <v>11</v>
      </c>
      <c r="W4" s="3" t="s">
        <v>12</v>
      </c>
      <c r="X4" s="3" t="s">
        <v>13</v>
      </c>
      <c r="Y4" s="3" t="s">
        <v>14</v>
      </c>
      <c r="Z4" s="3" t="s">
        <v>46</v>
      </c>
      <c r="AA4" s="3" t="s">
        <v>18</v>
      </c>
      <c r="AB4" s="3" t="s">
        <v>16</v>
      </c>
      <c r="AC4" s="3" t="s">
        <v>47</v>
      </c>
      <c r="AD4" s="4" t="s">
        <v>21</v>
      </c>
    </row>
    <row r="5" spans="1:30" ht="14.25" thickTop="1">
      <c r="A5" s="5">
        <v>1</v>
      </c>
      <c r="B5" s="196" t="s">
        <v>22</v>
      </c>
      <c r="C5" s="197"/>
      <c r="D5" s="195"/>
      <c r="E5" s="6">
        <v>13</v>
      </c>
      <c r="F5" s="6">
        <v>64</v>
      </c>
      <c r="G5" s="7">
        <f>51+52</f>
        <v>103</v>
      </c>
      <c r="H5" s="7">
        <v>226</v>
      </c>
      <c r="I5" s="6">
        <v>30</v>
      </c>
      <c r="J5" s="6">
        <v>13</v>
      </c>
      <c r="K5" s="6">
        <v>14</v>
      </c>
      <c r="L5" s="6">
        <v>59</v>
      </c>
      <c r="M5" s="6">
        <v>120</v>
      </c>
      <c r="N5" s="6">
        <v>831</v>
      </c>
      <c r="O5" s="6">
        <v>87</v>
      </c>
      <c r="P5" s="6">
        <v>210</v>
      </c>
      <c r="Q5" s="6">
        <v>4</v>
      </c>
      <c r="R5" s="6">
        <v>30</v>
      </c>
      <c r="S5" s="8">
        <v>8</v>
      </c>
      <c r="T5" s="8">
        <v>30</v>
      </c>
      <c r="U5" s="10">
        <v>30</v>
      </c>
      <c r="V5" s="11">
        <v>24</v>
      </c>
      <c r="W5" s="10">
        <v>30</v>
      </c>
      <c r="X5" s="11"/>
      <c r="Y5" s="11">
        <v>51</v>
      </c>
      <c r="Z5" s="11">
        <v>98</v>
      </c>
      <c r="AA5" s="11">
        <v>30</v>
      </c>
      <c r="AB5" s="11">
        <v>13</v>
      </c>
      <c r="AC5" s="12">
        <v>30</v>
      </c>
      <c r="AD5" s="13">
        <f>SUM(E5:AC5)</f>
        <v>2148</v>
      </c>
    </row>
    <row r="6" spans="1:30" ht="13.5">
      <c r="A6" s="14">
        <v>2</v>
      </c>
      <c r="B6" s="198" t="s">
        <v>23</v>
      </c>
      <c r="C6" s="200"/>
      <c r="D6" s="199"/>
      <c r="E6" s="15"/>
      <c r="F6" s="15"/>
      <c r="G6" s="16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  <c r="T6" s="17"/>
      <c r="U6" s="19"/>
      <c r="V6" s="15"/>
      <c r="W6" s="19"/>
      <c r="X6" s="15"/>
      <c r="Y6" s="15"/>
      <c r="Z6" s="15"/>
      <c r="AA6" s="15"/>
      <c r="AB6" s="15"/>
      <c r="AC6" s="17"/>
      <c r="AD6" s="13">
        <f>SUM(E6:AC6)</f>
        <v>0</v>
      </c>
    </row>
    <row r="7" spans="1:30" ht="13.5">
      <c r="A7" s="14">
        <v>15</v>
      </c>
      <c r="B7" s="198" t="s">
        <v>38</v>
      </c>
      <c r="C7" s="200"/>
      <c r="D7" s="199"/>
      <c r="E7" s="15">
        <f aca="true" t="shared" si="0" ref="E7:AD7">SUM(E5:E6)</f>
        <v>13</v>
      </c>
      <c r="F7" s="15">
        <f t="shared" si="0"/>
        <v>64</v>
      </c>
      <c r="G7" s="15">
        <f t="shared" si="0"/>
        <v>103</v>
      </c>
      <c r="H7" s="15">
        <f t="shared" si="0"/>
        <v>226</v>
      </c>
      <c r="I7" s="15">
        <f t="shared" si="0"/>
        <v>30</v>
      </c>
      <c r="J7" s="15">
        <f t="shared" si="0"/>
        <v>13</v>
      </c>
      <c r="K7" s="15">
        <f t="shared" si="0"/>
        <v>14</v>
      </c>
      <c r="L7" s="15">
        <f t="shared" si="0"/>
        <v>59</v>
      </c>
      <c r="M7" s="15">
        <f t="shared" si="0"/>
        <v>120</v>
      </c>
      <c r="N7" s="15">
        <f t="shared" si="0"/>
        <v>831</v>
      </c>
      <c r="O7" s="15">
        <f t="shared" si="0"/>
        <v>87</v>
      </c>
      <c r="P7" s="15">
        <f t="shared" si="0"/>
        <v>210</v>
      </c>
      <c r="Q7" s="15">
        <f t="shared" si="0"/>
        <v>4</v>
      </c>
      <c r="R7" s="15">
        <f t="shared" si="0"/>
        <v>30</v>
      </c>
      <c r="S7" s="15">
        <f t="shared" si="0"/>
        <v>8</v>
      </c>
      <c r="T7" s="15">
        <f t="shared" si="0"/>
        <v>30</v>
      </c>
      <c r="U7" s="15">
        <f t="shared" si="0"/>
        <v>30</v>
      </c>
      <c r="V7" s="15">
        <f t="shared" si="0"/>
        <v>24</v>
      </c>
      <c r="W7" s="15">
        <f t="shared" si="0"/>
        <v>30</v>
      </c>
      <c r="X7" s="15">
        <f t="shared" si="0"/>
        <v>0</v>
      </c>
      <c r="Y7" s="15">
        <f t="shared" si="0"/>
        <v>51</v>
      </c>
      <c r="Z7" s="15">
        <f t="shared" si="0"/>
        <v>98</v>
      </c>
      <c r="AA7" s="15">
        <f t="shared" si="0"/>
        <v>30</v>
      </c>
      <c r="AB7" s="15">
        <f t="shared" si="0"/>
        <v>13</v>
      </c>
      <c r="AC7" s="17">
        <f t="shared" si="0"/>
        <v>30</v>
      </c>
      <c r="AD7" s="25">
        <f t="shared" si="0"/>
        <v>2148</v>
      </c>
    </row>
    <row r="8" spans="1:30" ht="13.5">
      <c r="A8" s="14">
        <v>3</v>
      </c>
      <c r="B8" s="207" t="s">
        <v>24</v>
      </c>
      <c r="C8" s="198" t="s">
        <v>25</v>
      </c>
      <c r="D8" s="199"/>
      <c r="E8" s="20"/>
      <c r="F8" s="20"/>
      <c r="G8" s="21"/>
      <c r="H8" s="21"/>
      <c r="I8" s="20"/>
      <c r="J8" s="20"/>
      <c r="K8" s="15"/>
      <c r="L8" s="15"/>
      <c r="M8" s="15"/>
      <c r="N8" s="20"/>
      <c r="O8" s="20"/>
      <c r="P8" s="20"/>
      <c r="Q8" s="20"/>
      <c r="R8" s="20"/>
      <c r="S8" s="22"/>
      <c r="T8" s="22"/>
      <c r="U8" s="23"/>
      <c r="V8" s="20"/>
      <c r="W8" s="23"/>
      <c r="X8" s="20"/>
      <c r="Y8" s="20"/>
      <c r="Z8" s="20"/>
      <c r="AA8" s="20"/>
      <c r="AB8" s="20"/>
      <c r="AC8" s="22"/>
      <c r="AD8" s="13">
        <f>SUM(E8:AC8)</f>
        <v>0</v>
      </c>
    </row>
    <row r="9" spans="1:30" ht="13.5">
      <c r="A9" s="14">
        <v>4</v>
      </c>
      <c r="B9" s="208"/>
      <c r="C9" s="198" t="s">
        <v>26</v>
      </c>
      <c r="D9" s="199"/>
      <c r="E9" s="15"/>
      <c r="F9" s="20"/>
      <c r="G9" s="21"/>
      <c r="H9" s="21"/>
      <c r="I9" s="20"/>
      <c r="J9" s="20"/>
      <c r="K9" s="20"/>
      <c r="L9" s="15"/>
      <c r="M9" s="15"/>
      <c r="N9" s="20"/>
      <c r="O9" s="20">
        <v>1</v>
      </c>
      <c r="P9" s="20"/>
      <c r="Q9" s="20"/>
      <c r="R9" s="20"/>
      <c r="S9" s="22"/>
      <c r="T9" s="22"/>
      <c r="U9" s="23"/>
      <c r="V9" s="20"/>
      <c r="W9" s="23"/>
      <c r="X9" s="20"/>
      <c r="Y9" s="20"/>
      <c r="Z9" s="20"/>
      <c r="AA9" s="20"/>
      <c r="AB9" s="20"/>
      <c r="AC9" s="22"/>
      <c r="AD9" s="13">
        <f>SUM(E9:AC9)</f>
        <v>1</v>
      </c>
    </row>
    <row r="10" spans="1:30" ht="13.5">
      <c r="A10" s="14">
        <v>5</v>
      </c>
      <c r="B10" s="208"/>
      <c r="C10" s="198" t="s">
        <v>27</v>
      </c>
      <c r="D10" s="199"/>
      <c r="E10" s="15"/>
      <c r="F10" s="20">
        <v>1</v>
      </c>
      <c r="G10" s="21"/>
      <c r="H10" s="21"/>
      <c r="I10" s="20"/>
      <c r="J10" s="20"/>
      <c r="K10" s="20"/>
      <c r="L10" s="15"/>
      <c r="M10" s="15"/>
      <c r="N10" s="20"/>
      <c r="O10" s="20"/>
      <c r="P10" s="20"/>
      <c r="Q10" s="20"/>
      <c r="R10" s="20"/>
      <c r="S10" s="22"/>
      <c r="T10" s="22"/>
      <c r="U10" s="23"/>
      <c r="V10" s="20"/>
      <c r="W10" s="23"/>
      <c r="X10" s="20"/>
      <c r="Y10" s="20"/>
      <c r="Z10" s="20"/>
      <c r="AA10" s="20"/>
      <c r="AB10" s="20"/>
      <c r="AC10" s="22"/>
      <c r="AD10" s="13">
        <f>SUM(E10:AC10)</f>
        <v>1</v>
      </c>
    </row>
    <row r="11" spans="1:30" ht="13.5">
      <c r="A11" s="14">
        <v>6</v>
      </c>
      <c r="B11" s="208"/>
      <c r="C11" s="198" t="s">
        <v>28</v>
      </c>
      <c r="D11" s="199"/>
      <c r="E11" s="15"/>
      <c r="F11" s="20"/>
      <c r="G11" s="21">
        <v>3</v>
      </c>
      <c r="H11" s="21"/>
      <c r="I11" s="20"/>
      <c r="J11" s="20"/>
      <c r="K11" s="15"/>
      <c r="L11" s="20"/>
      <c r="M11" s="20"/>
      <c r="N11" s="20">
        <v>1</v>
      </c>
      <c r="O11" s="20"/>
      <c r="P11" s="20"/>
      <c r="Q11" s="20"/>
      <c r="R11" s="20"/>
      <c r="S11" s="22"/>
      <c r="T11" s="22"/>
      <c r="U11" s="23"/>
      <c r="V11" s="20"/>
      <c r="W11" s="23"/>
      <c r="X11" s="20"/>
      <c r="Y11" s="20">
        <v>9</v>
      </c>
      <c r="Z11" s="20"/>
      <c r="AA11" s="20"/>
      <c r="AB11" s="20"/>
      <c r="AC11" s="22"/>
      <c r="AD11" s="13">
        <f>SUM(E11:AC11)</f>
        <v>13</v>
      </c>
    </row>
    <row r="12" spans="1:30" ht="13.5">
      <c r="A12" s="14">
        <v>7</v>
      </c>
      <c r="B12" s="208"/>
      <c r="C12" s="198" t="s">
        <v>29</v>
      </c>
      <c r="D12" s="199"/>
      <c r="E12" s="16">
        <f aca="true" t="shared" si="1" ref="E12:AD12">E8+E9</f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1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33">
        <f t="shared" si="1"/>
        <v>0</v>
      </c>
      <c r="AD12" s="36">
        <f t="shared" si="1"/>
        <v>1</v>
      </c>
    </row>
    <row r="13" spans="1:30" ht="13.5">
      <c r="A13" s="14">
        <v>8</v>
      </c>
      <c r="B13" s="209"/>
      <c r="C13" s="198" t="s">
        <v>30</v>
      </c>
      <c r="D13" s="199"/>
      <c r="E13" s="16">
        <f aca="true" t="shared" si="2" ref="E13:AD13">E10+E11</f>
        <v>0</v>
      </c>
      <c r="F13" s="16">
        <f t="shared" si="2"/>
        <v>1</v>
      </c>
      <c r="G13" s="16">
        <f t="shared" si="2"/>
        <v>3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1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9</v>
      </c>
      <c r="Z13" s="16">
        <f t="shared" si="2"/>
        <v>0</v>
      </c>
      <c r="AA13" s="16">
        <f t="shared" si="2"/>
        <v>0</v>
      </c>
      <c r="AB13" s="16">
        <f t="shared" si="2"/>
        <v>0</v>
      </c>
      <c r="AC13" s="33">
        <f t="shared" si="2"/>
        <v>0</v>
      </c>
      <c r="AD13" s="36">
        <f t="shared" si="2"/>
        <v>14</v>
      </c>
    </row>
    <row r="14" spans="1:30" ht="13.5">
      <c r="A14" s="14">
        <v>9</v>
      </c>
      <c r="B14" s="207" t="s">
        <v>31</v>
      </c>
      <c r="C14" s="24" t="s">
        <v>32</v>
      </c>
      <c r="D14" s="24" t="s">
        <v>33</v>
      </c>
      <c r="E14" s="15"/>
      <c r="F14" s="15"/>
      <c r="G14" s="16"/>
      <c r="H14" s="16">
        <v>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7"/>
      <c r="U14" s="19"/>
      <c r="V14" s="15"/>
      <c r="W14" s="19"/>
      <c r="X14" s="15"/>
      <c r="Y14" s="15"/>
      <c r="Z14" s="15"/>
      <c r="AA14" s="15"/>
      <c r="AB14" s="15"/>
      <c r="AC14" s="17"/>
      <c r="AD14" s="25">
        <f aca="true" t="shared" si="3" ref="AD14:AD21">SUM(E14:AC14)</f>
        <v>1</v>
      </c>
    </row>
    <row r="15" spans="1:30" ht="13.5">
      <c r="A15" s="26"/>
      <c r="B15" s="208"/>
      <c r="C15" s="27"/>
      <c r="D15" s="24" t="s">
        <v>34</v>
      </c>
      <c r="E15" s="15"/>
      <c r="F15" s="16"/>
      <c r="G15" s="16"/>
      <c r="H15" s="16">
        <v>15</v>
      </c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7"/>
      <c r="T15" s="17"/>
      <c r="U15" s="19"/>
      <c r="V15" s="15"/>
      <c r="W15" s="19"/>
      <c r="X15" s="15"/>
      <c r="Y15" s="15"/>
      <c r="Z15" s="15"/>
      <c r="AA15" s="15"/>
      <c r="AB15" s="15"/>
      <c r="AC15" s="17"/>
      <c r="AD15" s="25">
        <f t="shared" si="3"/>
        <v>15</v>
      </c>
    </row>
    <row r="16" spans="1:30" ht="13.5">
      <c r="A16" s="14">
        <v>10</v>
      </c>
      <c r="B16" s="208"/>
      <c r="C16" s="24" t="s">
        <v>26</v>
      </c>
      <c r="D16" s="24" t="s">
        <v>33</v>
      </c>
      <c r="E16" s="15">
        <v>1</v>
      </c>
      <c r="F16" s="15">
        <v>5</v>
      </c>
      <c r="G16" s="16">
        <f>6+14</f>
        <v>20</v>
      </c>
      <c r="H16" s="16">
        <v>15</v>
      </c>
      <c r="I16" s="15">
        <v>7</v>
      </c>
      <c r="J16" s="15"/>
      <c r="K16" s="15">
        <v>1</v>
      </c>
      <c r="L16" s="15">
        <v>23</v>
      </c>
      <c r="M16" s="15"/>
      <c r="N16" s="15">
        <v>75</v>
      </c>
      <c r="O16" s="15">
        <v>15</v>
      </c>
      <c r="P16" s="15">
        <v>4</v>
      </c>
      <c r="Q16" s="15"/>
      <c r="R16" s="15">
        <v>13</v>
      </c>
      <c r="S16" s="17"/>
      <c r="T16" s="17"/>
      <c r="U16" s="19"/>
      <c r="V16" s="15"/>
      <c r="W16" s="19"/>
      <c r="X16" s="15"/>
      <c r="Y16" s="15">
        <v>8</v>
      </c>
      <c r="Z16" s="15">
        <v>14</v>
      </c>
      <c r="AA16" s="15">
        <v>1</v>
      </c>
      <c r="AB16" s="15">
        <v>3</v>
      </c>
      <c r="AC16" s="17">
        <v>8</v>
      </c>
      <c r="AD16" s="25">
        <f t="shared" si="3"/>
        <v>213</v>
      </c>
    </row>
    <row r="17" spans="1:30" ht="13.5">
      <c r="A17" s="14" t="s">
        <v>35</v>
      </c>
      <c r="B17" s="208"/>
      <c r="C17" s="27"/>
      <c r="D17" s="24" t="s">
        <v>34</v>
      </c>
      <c r="E17" s="15">
        <v>53</v>
      </c>
      <c r="F17" s="15">
        <v>140</v>
      </c>
      <c r="G17" s="16">
        <f>198+725</f>
        <v>923</v>
      </c>
      <c r="H17" s="16">
        <f>6*60+20</f>
        <v>380</v>
      </c>
      <c r="I17" s="16">
        <f>56*60</f>
        <v>3360</v>
      </c>
      <c r="J17" s="15"/>
      <c r="K17" s="15">
        <v>30</v>
      </c>
      <c r="L17" s="15">
        <f>10.9*60</f>
        <v>654</v>
      </c>
      <c r="M17" s="15"/>
      <c r="N17" s="15">
        <f>44.7*60</f>
        <v>2682</v>
      </c>
      <c r="O17" s="15">
        <f>6*60+28</f>
        <v>388</v>
      </c>
      <c r="P17" s="15">
        <f>2.2*60</f>
        <v>132</v>
      </c>
      <c r="Q17" s="15"/>
      <c r="R17" s="15">
        <v>238</v>
      </c>
      <c r="S17" s="17"/>
      <c r="T17" s="17"/>
      <c r="U17" s="19"/>
      <c r="V17" s="15"/>
      <c r="W17" s="19"/>
      <c r="X17" s="15"/>
      <c r="Y17" s="15">
        <v>188</v>
      </c>
      <c r="Z17" s="15">
        <f>5.9*60</f>
        <v>354</v>
      </c>
      <c r="AA17" s="15">
        <v>27</v>
      </c>
      <c r="AB17" s="15">
        <v>82</v>
      </c>
      <c r="AC17" s="17">
        <v>403</v>
      </c>
      <c r="AD17" s="25">
        <f t="shared" si="3"/>
        <v>10034</v>
      </c>
    </row>
    <row r="18" spans="1:30" ht="13.5">
      <c r="A18" s="14">
        <v>11</v>
      </c>
      <c r="B18" s="208"/>
      <c r="C18" s="24" t="s">
        <v>27</v>
      </c>
      <c r="D18" s="24" t="s">
        <v>33</v>
      </c>
      <c r="E18" s="15"/>
      <c r="F18" s="15">
        <v>3</v>
      </c>
      <c r="G18" s="16">
        <f>2+2</f>
        <v>4</v>
      </c>
      <c r="H18" s="16">
        <v>8</v>
      </c>
      <c r="I18" s="15"/>
      <c r="J18" s="15">
        <v>2</v>
      </c>
      <c r="K18" s="15"/>
      <c r="L18" s="15">
        <v>11</v>
      </c>
      <c r="M18" s="15">
        <v>4</v>
      </c>
      <c r="N18" s="15">
        <v>45</v>
      </c>
      <c r="O18" s="15"/>
      <c r="P18" s="15">
        <v>1</v>
      </c>
      <c r="Q18" s="15"/>
      <c r="R18" s="15">
        <v>10</v>
      </c>
      <c r="S18" s="17"/>
      <c r="T18" s="17"/>
      <c r="U18" s="19"/>
      <c r="V18" s="15"/>
      <c r="W18" s="19">
        <v>2</v>
      </c>
      <c r="X18" s="15"/>
      <c r="Y18" s="15"/>
      <c r="Z18" s="15">
        <v>2</v>
      </c>
      <c r="AA18" s="15"/>
      <c r="AB18" s="15">
        <v>1</v>
      </c>
      <c r="AC18" s="17">
        <v>2</v>
      </c>
      <c r="AD18" s="25">
        <f t="shared" si="3"/>
        <v>95</v>
      </c>
    </row>
    <row r="19" spans="1:30" ht="13.5">
      <c r="A19" s="26"/>
      <c r="B19" s="208"/>
      <c r="C19" s="27"/>
      <c r="D19" s="24" t="s">
        <v>34</v>
      </c>
      <c r="E19" s="15"/>
      <c r="F19" s="16">
        <v>990</v>
      </c>
      <c r="G19" s="16">
        <f>266+226</f>
        <v>492</v>
      </c>
      <c r="H19" s="16">
        <f>9*60+5</f>
        <v>545</v>
      </c>
      <c r="I19" s="16"/>
      <c r="J19" s="15">
        <v>111</v>
      </c>
      <c r="K19" s="15"/>
      <c r="L19" s="15">
        <f>10.5*60</f>
        <v>630</v>
      </c>
      <c r="M19" s="15">
        <v>445</v>
      </c>
      <c r="N19" s="15">
        <f>56.1*60</f>
        <v>3366</v>
      </c>
      <c r="O19" s="15"/>
      <c r="P19" s="15">
        <f>2.5*60</f>
        <v>150</v>
      </c>
      <c r="Q19" s="15"/>
      <c r="R19" s="15">
        <v>803</v>
      </c>
      <c r="S19" s="17"/>
      <c r="T19" s="17"/>
      <c r="U19" s="19"/>
      <c r="V19" s="15"/>
      <c r="W19" s="19">
        <v>115</v>
      </c>
      <c r="X19" s="15"/>
      <c r="Y19" s="15"/>
      <c r="Z19" s="15">
        <f>1.4*60</f>
        <v>84</v>
      </c>
      <c r="AA19" s="15"/>
      <c r="AB19" s="15">
        <v>6</v>
      </c>
      <c r="AC19" s="17">
        <v>308</v>
      </c>
      <c r="AD19" s="25">
        <f t="shared" si="3"/>
        <v>8045</v>
      </c>
    </row>
    <row r="20" spans="1:30" ht="13.5">
      <c r="A20" s="14">
        <v>12</v>
      </c>
      <c r="B20" s="208"/>
      <c r="C20" s="24" t="s">
        <v>28</v>
      </c>
      <c r="D20" s="24" t="s">
        <v>33</v>
      </c>
      <c r="E20" s="15">
        <v>1</v>
      </c>
      <c r="F20" s="15">
        <v>26</v>
      </c>
      <c r="G20" s="16">
        <f>14+16</f>
        <v>30</v>
      </c>
      <c r="H20" s="16">
        <v>28</v>
      </c>
      <c r="I20" s="15"/>
      <c r="J20" s="15">
        <v>4</v>
      </c>
      <c r="K20" s="15">
        <v>2</v>
      </c>
      <c r="L20" s="15">
        <v>2</v>
      </c>
      <c r="M20" s="15">
        <v>26</v>
      </c>
      <c r="N20" s="15">
        <v>36</v>
      </c>
      <c r="O20" s="15">
        <v>4</v>
      </c>
      <c r="P20" s="15"/>
      <c r="Q20" s="15">
        <v>1</v>
      </c>
      <c r="R20" s="15">
        <v>7</v>
      </c>
      <c r="S20" s="17">
        <v>6</v>
      </c>
      <c r="T20" s="17">
        <v>11</v>
      </c>
      <c r="U20" s="19">
        <v>2</v>
      </c>
      <c r="V20" s="15">
        <v>4</v>
      </c>
      <c r="W20" s="19">
        <v>7</v>
      </c>
      <c r="X20" s="15"/>
      <c r="Y20" s="15">
        <v>4</v>
      </c>
      <c r="Z20" s="15">
        <v>3</v>
      </c>
      <c r="AA20" s="15">
        <v>1</v>
      </c>
      <c r="AB20" s="15">
        <v>3</v>
      </c>
      <c r="AC20" s="17"/>
      <c r="AD20" s="25">
        <f t="shared" si="3"/>
        <v>208</v>
      </c>
    </row>
    <row r="21" spans="1:30" ht="13.5">
      <c r="A21" s="26"/>
      <c r="B21" s="208"/>
      <c r="C21" s="27"/>
      <c r="D21" s="24" t="s">
        <v>34</v>
      </c>
      <c r="E21" s="15">
        <v>10</v>
      </c>
      <c r="F21" s="16">
        <v>943</v>
      </c>
      <c r="G21" s="16">
        <f>613+838</f>
        <v>1451</v>
      </c>
      <c r="H21" s="16">
        <f>11*60+26</f>
        <v>686</v>
      </c>
      <c r="I21" s="16"/>
      <c r="J21" s="15">
        <v>28</v>
      </c>
      <c r="K21" s="15">
        <v>58</v>
      </c>
      <c r="L21" s="15">
        <f>1.2*60</f>
        <v>72</v>
      </c>
      <c r="M21" s="15">
        <v>1641</v>
      </c>
      <c r="N21" s="15">
        <f>30.2*60</f>
        <v>1812</v>
      </c>
      <c r="O21" s="15">
        <v>59</v>
      </c>
      <c r="P21" s="15"/>
      <c r="Q21" s="15">
        <v>15</v>
      </c>
      <c r="R21" s="15">
        <v>565</v>
      </c>
      <c r="S21" s="17">
        <v>283</v>
      </c>
      <c r="T21" s="17">
        <v>328</v>
      </c>
      <c r="U21" s="19">
        <v>55</v>
      </c>
      <c r="V21" s="15">
        <f>4*60+46</f>
        <v>286</v>
      </c>
      <c r="W21" s="19">
        <f>22*60+57</f>
        <v>1377</v>
      </c>
      <c r="X21" s="15"/>
      <c r="Y21" s="15">
        <v>900</v>
      </c>
      <c r="Z21" s="15">
        <f>3.1*60</f>
        <v>186</v>
      </c>
      <c r="AA21" s="15">
        <v>206</v>
      </c>
      <c r="AB21" s="15">
        <v>89</v>
      </c>
      <c r="AC21" s="17"/>
      <c r="AD21" s="25">
        <f t="shared" si="3"/>
        <v>11050</v>
      </c>
    </row>
    <row r="22" spans="1:30" ht="13.5">
      <c r="A22" s="14">
        <v>13</v>
      </c>
      <c r="B22" s="208"/>
      <c r="C22" s="198" t="s">
        <v>36</v>
      </c>
      <c r="D22" s="199"/>
      <c r="E22" s="15">
        <f aca="true" t="shared" si="4" ref="E22:AD22">E14+E16+E18+E20</f>
        <v>2</v>
      </c>
      <c r="F22" s="15">
        <f t="shared" si="4"/>
        <v>34</v>
      </c>
      <c r="G22" s="15">
        <f t="shared" si="4"/>
        <v>54</v>
      </c>
      <c r="H22" s="15">
        <f t="shared" si="4"/>
        <v>52</v>
      </c>
      <c r="I22" s="15">
        <f t="shared" si="4"/>
        <v>7</v>
      </c>
      <c r="J22" s="15">
        <f t="shared" si="4"/>
        <v>6</v>
      </c>
      <c r="K22" s="15">
        <f t="shared" si="4"/>
        <v>3</v>
      </c>
      <c r="L22" s="15">
        <f t="shared" si="4"/>
        <v>36</v>
      </c>
      <c r="M22" s="15">
        <f t="shared" si="4"/>
        <v>30</v>
      </c>
      <c r="N22" s="15">
        <f t="shared" si="4"/>
        <v>156</v>
      </c>
      <c r="O22" s="15">
        <f t="shared" si="4"/>
        <v>19</v>
      </c>
      <c r="P22" s="15">
        <f t="shared" si="4"/>
        <v>5</v>
      </c>
      <c r="Q22" s="15">
        <f t="shared" si="4"/>
        <v>1</v>
      </c>
      <c r="R22" s="15">
        <f t="shared" si="4"/>
        <v>30</v>
      </c>
      <c r="S22" s="15">
        <f t="shared" si="4"/>
        <v>6</v>
      </c>
      <c r="T22" s="15">
        <f t="shared" si="4"/>
        <v>11</v>
      </c>
      <c r="U22" s="15">
        <f t="shared" si="4"/>
        <v>2</v>
      </c>
      <c r="V22" s="15">
        <f t="shared" si="4"/>
        <v>4</v>
      </c>
      <c r="W22" s="15">
        <f t="shared" si="4"/>
        <v>9</v>
      </c>
      <c r="X22" s="15">
        <f t="shared" si="4"/>
        <v>0</v>
      </c>
      <c r="Y22" s="15">
        <f t="shared" si="4"/>
        <v>12</v>
      </c>
      <c r="Z22" s="15">
        <f t="shared" si="4"/>
        <v>19</v>
      </c>
      <c r="AA22" s="15">
        <f t="shared" si="4"/>
        <v>2</v>
      </c>
      <c r="AB22" s="15">
        <f t="shared" si="4"/>
        <v>7</v>
      </c>
      <c r="AC22" s="17">
        <f t="shared" si="4"/>
        <v>10</v>
      </c>
      <c r="AD22" s="25">
        <f t="shared" si="4"/>
        <v>517</v>
      </c>
    </row>
    <row r="23" spans="1:30" ht="13.5">
      <c r="A23" s="14">
        <v>14</v>
      </c>
      <c r="B23" s="209"/>
      <c r="C23" s="198" t="s">
        <v>37</v>
      </c>
      <c r="D23" s="199"/>
      <c r="E23" s="15">
        <f>E15+E17+E19+E21</f>
        <v>63</v>
      </c>
      <c r="F23" s="15">
        <f>F15+F17+F19+F21</f>
        <v>2073</v>
      </c>
      <c r="G23" s="15">
        <f>G15+G17+G19+G21</f>
        <v>2866</v>
      </c>
      <c r="H23" s="15">
        <f>H15+H17+H19+H21</f>
        <v>1626</v>
      </c>
      <c r="I23" s="15">
        <f>I15+I17+I19+I21</f>
        <v>3360</v>
      </c>
      <c r="J23" s="15">
        <f aca="true" t="shared" si="5" ref="J23:AD23">J15+J17+J19+J21</f>
        <v>139</v>
      </c>
      <c r="K23" s="15">
        <f t="shared" si="5"/>
        <v>88</v>
      </c>
      <c r="L23" s="15">
        <f t="shared" si="5"/>
        <v>1356</v>
      </c>
      <c r="M23" s="15">
        <f t="shared" si="5"/>
        <v>2086</v>
      </c>
      <c r="N23" s="15">
        <f t="shared" si="5"/>
        <v>7860</v>
      </c>
      <c r="O23" s="15">
        <f t="shared" si="5"/>
        <v>447</v>
      </c>
      <c r="P23" s="15">
        <f t="shared" si="5"/>
        <v>282</v>
      </c>
      <c r="Q23" s="15">
        <f t="shared" si="5"/>
        <v>15</v>
      </c>
      <c r="R23" s="15">
        <f t="shared" si="5"/>
        <v>1606</v>
      </c>
      <c r="S23" s="15">
        <f t="shared" si="5"/>
        <v>283</v>
      </c>
      <c r="T23" s="15">
        <f t="shared" si="5"/>
        <v>328</v>
      </c>
      <c r="U23" s="15">
        <f t="shared" si="5"/>
        <v>55</v>
      </c>
      <c r="V23" s="15">
        <f t="shared" si="5"/>
        <v>286</v>
      </c>
      <c r="W23" s="15">
        <f t="shared" si="5"/>
        <v>1492</v>
      </c>
      <c r="X23" s="15">
        <f t="shared" si="5"/>
        <v>0</v>
      </c>
      <c r="Y23" s="15">
        <f t="shared" si="5"/>
        <v>1088</v>
      </c>
      <c r="Z23" s="15">
        <f t="shared" si="5"/>
        <v>624</v>
      </c>
      <c r="AA23" s="15">
        <f t="shared" si="5"/>
        <v>233</v>
      </c>
      <c r="AB23" s="15">
        <f t="shared" si="5"/>
        <v>177</v>
      </c>
      <c r="AC23" s="17">
        <f t="shared" si="5"/>
        <v>711</v>
      </c>
      <c r="AD23" s="25">
        <f t="shared" si="5"/>
        <v>29144</v>
      </c>
    </row>
    <row r="24" spans="1:30" ht="13.5">
      <c r="A24" s="14">
        <v>16</v>
      </c>
      <c r="B24" s="198" t="s">
        <v>39</v>
      </c>
      <c r="C24" s="200"/>
      <c r="D24" s="199"/>
      <c r="E24" s="15">
        <f aca="true" t="shared" si="6" ref="E24:AD24">E7-E12</f>
        <v>13</v>
      </c>
      <c r="F24" s="15">
        <f t="shared" si="6"/>
        <v>64</v>
      </c>
      <c r="G24" s="15">
        <f t="shared" si="6"/>
        <v>103</v>
      </c>
      <c r="H24" s="15">
        <f t="shared" si="6"/>
        <v>226</v>
      </c>
      <c r="I24" s="15">
        <f t="shared" si="6"/>
        <v>30</v>
      </c>
      <c r="J24" s="15">
        <f t="shared" si="6"/>
        <v>13</v>
      </c>
      <c r="K24" s="15">
        <f t="shared" si="6"/>
        <v>14</v>
      </c>
      <c r="L24" s="15">
        <f t="shared" si="6"/>
        <v>59</v>
      </c>
      <c r="M24" s="15">
        <f t="shared" si="6"/>
        <v>120</v>
      </c>
      <c r="N24" s="15">
        <f t="shared" si="6"/>
        <v>831</v>
      </c>
      <c r="O24" s="15">
        <f t="shared" si="6"/>
        <v>86</v>
      </c>
      <c r="P24" s="15">
        <f t="shared" si="6"/>
        <v>210</v>
      </c>
      <c r="Q24" s="15">
        <f t="shared" si="6"/>
        <v>4</v>
      </c>
      <c r="R24" s="15">
        <f t="shared" si="6"/>
        <v>30</v>
      </c>
      <c r="S24" s="15">
        <f t="shared" si="6"/>
        <v>8</v>
      </c>
      <c r="T24" s="15">
        <f t="shared" si="6"/>
        <v>30</v>
      </c>
      <c r="U24" s="15">
        <f t="shared" si="6"/>
        <v>30</v>
      </c>
      <c r="V24" s="15">
        <f t="shared" si="6"/>
        <v>24</v>
      </c>
      <c r="W24" s="15">
        <f t="shared" si="6"/>
        <v>30</v>
      </c>
      <c r="X24" s="15">
        <f t="shared" si="6"/>
        <v>0</v>
      </c>
      <c r="Y24" s="15">
        <f t="shared" si="6"/>
        <v>51</v>
      </c>
      <c r="Z24" s="15">
        <f t="shared" si="6"/>
        <v>98</v>
      </c>
      <c r="AA24" s="15">
        <f t="shared" si="6"/>
        <v>30</v>
      </c>
      <c r="AB24" s="15">
        <f t="shared" si="6"/>
        <v>13</v>
      </c>
      <c r="AC24" s="17">
        <f t="shared" si="6"/>
        <v>30</v>
      </c>
      <c r="AD24" s="25">
        <f t="shared" si="6"/>
        <v>2147</v>
      </c>
    </row>
    <row r="25" spans="1:30" ht="13.5">
      <c r="A25" s="14">
        <v>17</v>
      </c>
      <c r="B25" s="198" t="s">
        <v>40</v>
      </c>
      <c r="C25" s="200"/>
      <c r="D25" s="199"/>
      <c r="E25" s="15">
        <f aca="true" t="shared" si="7" ref="E25:AD25">E24-E22-E13</f>
        <v>11</v>
      </c>
      <c r="F25" s="15">
        <f t="shared" si="7"/>
        <v>29</v>
      </c>
      <c r="G25" s="15">
        <f t="shared" si="7"/>
        <v>46</v>
      </c>
      <c r="H25" s="15">
        <f t="shared" si="7"/>
        <v>174</v>
      </c>
      <c r="I25" s="15">
        <f t="shared" si="7"/>
        <v>23</v>
      </c>
      <c r="J25" s="15">
        <f t="shared" si="7"/>
        <v>7</v>
      </c>
      <c r="K25" s="15">
        <f t="shared" si="7"/>
        <v>11</v>
      </c>
      <c r="L25" s="15">
        <f t="shared" si="7"/>
        <v>23</v>
      </c>
      <c r="M25" s="15">
        <f t="shared" si="7"/>
        <v>90</v>
      </c>
      <c r="N25" s="15">
        <f t="shared" si="7"/>
        <v>674</v>
      </c>
      <c r="O25" s="15">
        <f t="shared" si="7"/>
        <v>67</v>
      </c>
      <c r="P25" s="15">
        <f t="shared" si="7"/>
        <v>205</v>
      </c>
      <c r="Q25" s="15">
        <f t="shared" si="7"/>
        <v>3</v>
      </c>
      <c r="R25" s="15">
        <f t="shared" si="7"/>
        <v>0</v>
      </c>
      <c r="S25" s="15">
        <f t="shared" si="7"/>
        <v>2</v>
      </c>
      <c r="T25" s="15">
        <f t="shared" si="7"/>
        <v>19</v>
      </c>
      <c r="U25" s="15">
        <f t="shared" si="7"/>
        <v>28</v>
      </c>
      <c r="V25" s="15">
        <f t="shared" si="7"/>
        <v>20</v>
      </c>
      <c r="W25" s="15">
        <f t="shared" si="7"/>
        <v>21</v>
      </c>
      <c r="X25" s="15">
        <f t="shared" si="7"/>
        <v>0</v>
      </c>
      <c r="Y25" s="15">
        <f t="shared" si="7"/>
        <v>30</v>
      </c>
      <c r="Z25" s="15">
        <f t="shared" si="7"/>
        <v>79</v>
      </c>
      <c r="AA25" s="15">
        <f t="shared" si="7"/>
        <v>28</v>
      </c>
      <c r="AB25" s="15">
        <f t="shared" si="7"/>
        <v>6</v>
      </c>
      <c r="AC25" s="17">
        <f t="shared" si="7"/>
        <v>20</v>
      </c>
      <c r="AD25" s="25">
        <f t="shared" si="7"/>
        <v>1616</v>
      </c>
    </row>
    <row r="26" spans="1:30" ht="13.5">
      <c r="A26" s="14">
        <v>18</v>
      </c>
      <c r="B26" s="198" t="s">
        <v>41</v>
      </c>
      <c r="C26" s="200"/>
      <c r="D26" s="199"/>
      <c r="E26" s="29">
        <f aca="true" t="shared" si="8" ref="E26:AD26">IF(E24=0,0,(E25+E16)/E24)</f>
        <v>0.9230769230769231</v>
      </c>
      <c r="F26" s="29">
        <f t="shared" si="8"/>
        <v>0.53125</v>
      </c>
      <c r="G26" s="29">
        <f t="shared" si="8"/>
        <v>0.6407766990291263</v>
      </c>
      <c r="H26" s="29">
        <f t="shared" si="8"/>
        <v>0.8362831858407079</v>
      </c>
      <c r="I26" s="29">
        <f t="shared" si="8"/>
        <v>1</v>
      </c>
      <c r="J26" s="29">
        <f t="shared" si="8"/>
        <v>0.5384615384615384</v>
      </c>
      <c r="K26" s="29">
        <f t="shared" si="8"/>
        <v>0.8571428571428571</v>
      </c>
      <c r="L26" s="29">
        <f t="shared" si="8"/>
        <v>0.7796610169491526</v>
      </c>
      <c r="M26" s="29">
        <f t="shared" si="8"/>
        <v>0.75</v>
      </c>
      <c r="N26" s="29">
        <f t="shared" si="8"/>
        <v>0.901323706377858</v>
      </c>
      <c r="O26" s="29">
        <f t="shared" si="8"/>
        <v>0.9534883720930233</v>
      </c>
      <c r="P26" s="29">
        <f t="shared" si="8"/>
        <v>0.9952380952380953</v>
      </c>
      <c r="Q26" s="29">
        <f t="shared" si="8"/>
        <v>0.75</v>
      </c>
      <c r="R26" s="29">
        <f t="shared" si="8"/>
        <v>0.43333333333333335</v>
      </c>
      <c r="S26" s="29">
        <f t="shared" si="8"/>
        <v>0.25</v>
      </c>
      <c r="T26" s="29">
        <f t="shared" si="8"/>
        <v>0.6333333333333333</v>
      </c>
      <c r="U26" s="29">
        <f t="shared" si="8"/>
        <v>0.9333333333333333</v>
      </c>
      <c r="V26" s="29">
        <f t="shared" si="8"/>
        <v>0.8333333333333334</v>
      </c>
      <c r="W26" s="29">
        <f t="shared" si="8"/>
        <v>0.7</v>
      </c>
      <c r="X26" s="29">
        <f t="shared" si="8"/>
        <v>0</v>
      </c>
      <c r="Y26" s="29">
        <f t="shared" si="8"/>
        <v>0.7450980392156863</v>
      </c>
      <c r="Z26" s="29">
        <f t="shared" si="8"/>
        <v>0.9489795918367347</v>
      </c>
      <c r="AA26" s="29">
        <f t="shared" si="8"/>
        <v>0.9666666666666667</v>
      </c>
      <c r="AB26" s="29">
        <f t="shared" si="8"/>
        <v>0.6923076923076923</v>
      </c>
      <c r="AC26" s="34">
        <f t="shared" si="8"/>
        <v>0.9333333333333333</v>
      </c>
      <c r="AD26" s="37">
        <f t="shared" si="8"/>
        <v>0.8518863530507685</v>
      </c>
    </row>
    <row r="27" spans="1:30" ht="14.25" thickBot="1">
      <c r="A27" s="30">
        <v>19</v>
      </c>
      <c r="B27" s="210" t="s">
        <v>42</v>
      </c>
      <c r="C27" s="211"/>
      <c r="D27" s="212"/>
      <c r="E27" s="31">
        <f aca="true" t="shared" si="9" ref="E27:AD27">+E23/E22</f>
        <v>31.5</v>
      </c>
      <c r="F27" s="31">
        <f t="shared" si="9"/>
        <v>60.970588235294116</v>
      </c>
      <c r="G27" s="31">
        <f t="shared" si="9"/>
        <v>53.074074074074076</v>
      </c>
      <c r="H27" s="31">
        <f t="shared" si="9"/>
        <v>31.26923076923077</v>
      </c>
      <c r="I27" s="31">
        <f t="shared" si="9"/>
        <v>480</v>
      </c>
      <c r="J27" s="31">
        <f t="shared" si="9"/>
        <v>23.166666666666668</v>
      </c>
      <c r="K27" s="31">
        <f t="shared" si="9"/>
        <v>29.333333333333332</v>
      </c>
      <c r="L27" s="31">
        <f t="shared" si="9"/>
        <v>37.666666666666664</v>
      </c>
      <c r="M27" s="31">
        <f t="shared" si="9"/>
        <v>69.53333333333333</v>
      </c>
      <c r="N27" s="31">
        <f t="shared" si="9"/>
        <v>50.38461538461539</v>
      </c>
      <c r="O27" s="31">
        <f t="shared" si="9"/>
        <v>23.526315789473685</v>
      </c>
      <c r="P27" s="31">
        <f t="shared" si="9"/>
        <v>56.4</v>
      </c>
      <c r="Q27" s="31">
        <f t="shared" si="9"/>
        <v>15</v>
      </c>
      <c r="R27" s="31">
        <f t="shared" si="9"/>
        <v>53.53333333333333</v>
      </c>
      <c r="S27" s="31">
        <f t="shared" si="9"/>
        <v>47.166666666666664</v>
      </c>
      <c r="T27" s="31">
        <f t="shared" si="9"/>
        <v>29.818181818181817</v>
      </c>
      <c r="U27" s="31">
        <f t="shared" si="9"/>
        <v>27.5</v>
      </c>
      <c r="V27" s="31">
        <f t="shared" si="9"/>
        <v>71.5</v>
      </c>
      <c r="W27" s="31">
        <f t="shared" si="9"/>
        <v>165.77777777777777</v>
      </c>
      <c r="X27" s="31" t="e">
        <f t="shared" si="9"/>
        <v>#DIV/0!</v>
      </c>
      <c r="Y27" s="31">
        <f t="shared" si="9"/>
        <v>90.66666666666667</v>
      </c>
      <c r="Z27" s="31">
        <f t="shared" si="9"/>
        <v>32.8421052631579</v>
      </c>
      <c r="AA27" s="31">
        <f t="shared" si="9"/>
        <v>116.5</v>
      </c>
      <c r="AB27" s="31">
        <f t="shared" si="9"/>
        <v>25.285714285714285</v>
      </c>
      <c r="AC27" s="35">
        <f t="shared" si="9"/>
        <v>71.1</v>
      </c>
      <c r="AD27" s="38">
        <f t="shared" si="9"/>
        <v>56.37137330754352</v>
      </c>
    </row>
    <row r="28" ht="13.5" thickTop="1"/>
  </sheetData>
  <mergeCells count="21">
    <mergeCell ref="A1:AD1"/>
    <mergeCell ref="A2:AD2"/>
    <mergeCell ref="A3:AD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C16" sqref="C16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5" width="7.7109375" style="0" customWidth="1"/>
    <col min="6" max="6" width="0.2890625" style="0" hidden="1" customWidth="1"/>
    <col min="7" max="7" width="0.13671875" style="0" customWidth="1"/>
    <col min="8" max="8" width="6.00390625" style="0" bestFit="1" customWidth="1"/>
    <col min="9" max="9" width="6.28125" style="0" bestFit="1" customWidth="1"/>
    <col min="10" max="13" width="6.00390625" style="0" bestFit="1" customWidth="1"/>
    <col min="14" max="14" width="6.57421875" style="0" customWidth="1"/>
    <col min="15" max="15" width="5.28125" style="0" bestFit="1" customWidth="1"/>
    <col min="16" max="16" width="6.28125" style="0" bestFit="1" customWidth="1"/>
    <col min="17" max="17" width="5.7109375" style="0" customWidth="1"/>
    <col min="18" max="18" width="6.00390625" style="0" bestFit="1" customWidth="1"/>
    <col min="19" max="19" width="5.28125" style="0" customWidth="1"/>
    <col min="20" max="20" width="6.140625" style="0" customWidth="1"/>
    <col min="21" max="22" width="5.28125" style="0" bestFit="1" customWidth="1"/>
    <col min="23" max="23" width="6.421875" style="0" customWidth="1"/>
    <col min="24" max="24" width="6.00390625" style="0" hidden="1" customWidth="1"/>
    <col min="25" max="25" width="6.00390625" style="0" bestFit="1" customWidth="1"/>
    <col min="26" max="29" width="5.28125" style="0" bestFit="1" customWidth="1"/>
    <col min="30" max="30" width="7.00390625" style="0" bestFit="1" customWidth="1"/>
    <col min="31" max="80" width="6.421875" style="0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3" t="s">
        <v>58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>
      <c r="A4" s="62" t="s">
        <v>0</v>
      </c>
      <c r="B4" s="223" t="s">
        <v>1</v>
      </c>
      <c r="C4" s="224"/>
      <c r="D4" s="224"/>
      <c r="E4" s="70" t="s">
        <v>20</v>
      </c>
      <c r="F4" s="108" t="s">
        <v>48</v>
      </c>
      <c r="G4" s="108" t="s">
        <v>3</v>
      </c>
      <c r="H4" s="108" t="s">
        <v>49</v>
      </c>
      <c r="I4" s="108" t="s">
        <v>2</v>
      </c>
      <c r="J4" s="108" t="s">
        <v>19</v>
      </c>
      <c r="K4" s="109" t="s">
        <v>50</v>
      </c>
      <c r="L4" s="108" t="s">
        <v>15</v>
      </c>
      <c r="M4" s="108" t="s">
        <v>4</v>
      </c>
      <c r="N4" s="108" t="s">
        <v>5</v>
      </c>
      <c r="O4" s="108" t="s">
        <v>7</v>
      </c>
      <c r="P4" s="108" t="s">
        <v>6</v>
      </c>
      <c r="Q4" s="110" t="s">
        <v>8</v>
      </c>
      <c r="R4" s="110" t="s">
        <v>9</v>
      </c>
      <c r="S4" s="110" t="s">
        <v>54</v>
      </c>
      <c r="T4" s="108" t="s">
        <v>10</v>
      </c>
      <c r="U4" s="108" t="s">
        <v>17</v>
      </c>
      <c r="V4" s="110" t="s">
        <v>11</v>
      </c>
      <c r="W4" s="110" t="s">
        <v>12</v>
      </c>
      <c r="X4" s="110" t="s">
        <v>13</v>
      </c>
      <c r="Y4" s="110" t="s">
        <v>14</v>
      </c>
      <c r="Z4" s="110" t="s">
        <v>46</v>
      </c>
      <c r="AA4" s="110" t="s">
        <v>18</v>
      </c>
      <c r="AB4" s="110" t="s">
        <v>16</v>
      </c>
      <c r="AC4" s="110" t="s">
        <v>47</v>
      </c>
      <c r="AD4" s="97" t="s">
        <v>21</v>
      </c>
    </row>
    <row r="5" spans="1:30" ht="13.5">
      <c r="A5" s="45">
        <v>1</v>
      </c>
      <c r="B5" s="221" t="s">
        <v>22</v>
      </c>
      <c r="C5" s="222"/>
      <c r="D5" s="222"/>
      <c r="E5" s="60">
        <v>14</v>
      </c>
      <c r="F5" s="11"/>
      <c r="G5" s="107"/>
      <c r="H5" s="107">
        <v>285</v>
      </c>
      <c r="I5" s="11">
        <v>31</v>
      </c>
      <c r="J5" s="11">
        <v>13</v>
      </c>
      <c r="K5" s="11">
        <v>13</v>
      </c>
      <c r="L5" s="11">
        <v>303</v>
      </c>
      <c r="M5" s="11">
        <v>124</v>
      </c>
      <c r="N5" s="11">
        <v>886</v>
      </c>
      <c r="O5" s="11">
        <v>93</v>
      </c>
      <c r="P5" s="11"/>
      <c r="Q5" s="11">
        <v>4</v>
      </c>
      <c r="R5" s="11">
        <v>31</v>
      </c>
      <c r="S5" s="12">
        <v>9</v>
      </c>
      <c r="T5" s="12">
        <v>31</v>
      </c>
      <c r="U5" s="124">
        <v>31</v>
      </c>
      <c r="V5" s="11">
        <v>28</v>
      </c>
      <c r="W5" s="10">
        <v>31</v>
      </c>
      <c r="X5" s="11"/>
      <c r="Y5" s="11">
        <v>55</v>
      </c>
      <c r="Z5" s="11">
        <v>103</v>
      </c>
      <c r="AA5" s="11">
        <f>31+31</f>
        <v>62</v>
      </c>
      <c r="AB5" s="11">
        <v>13</v>
      </c>
      <c r="AC5" s="12">
        <v>31</v>
      </c>
      <c r="AD5" s="119">
        <f>SUM(E5:AC5)</f>
        <v>2191</v>
      </c>
    </row>
    <row r="6" spans="1:30" ht="13.5">
      <c r="A6" s="43">
        <v>2</v>
      </c>
      <c r="B6" s="198" t="s">
        <v>23</v>
      </c>
      <c r="C6" s="200"/>
      <c r="D6" s="200"/>
      <c r="E6" s="116"/>
      <c r="F6" s="15"/>
      <c r="G6" s="16"/>
      <c r="H6" s="16"/>
      <c r="I6" s="15"/>
      <c r="J6" s="15"/>
      <c r="K6" s="15"/>
      <c r="L6" s="15"/>
      <c r="M6" s="15"/>
      <c r="N6" s="15"/>
      <c r="O6" s="15"/>
      <c r="P6" s="15"/>
      <c r="Q6" s="15">
        <v>3</v>
      </c>
      <c r="R6" s="15"/>
      <c r="S6" s="17"/>
      <c r="T6" s="17"/>
      <c r="U6" s="125"/>
      <c r="V6" s="15">
        <v>3</v>
      </c>
      <c r="W6" s="19"/>
      <c r="X6" s="15"/>
      <c r="Y6" s="15"/>
      <c r="Z6" s="15"/>
      <c r="AA6" s="15"/>
      <c r="AB6" s="15"/>
      <c r="AC6" s="17"/>
      <c r="AD6" s="119">
        <f>SUM(E6:AC6)</f>
        <v>6</v>
      </c>
    </row>
    <row r="7" spans="1:30" ht="13.5">
      <c r="A7" s="43">
        <v>15</v>
      </c>
      <c r="B7" s="198" t="s">
        <v>38</v>
      </c>
      <c r="C7" s="200"/>
      <c r="D7" s="200"/>
      <c r="E7" s="116">
        <f aca="true" t="shared" si="0" ref="E7:AD7">SUM(E5:E6)</f>
        <v>14</v>
      </c>
      <c r="F7" s="15">
        <f t="shared" si="0"/>
        <v>0</v>
      </c>
      <c r="G7" s="15">
        <f t="shared" si="0"/>
        <v>0</v>
      </c>
      <c r="H7" s="15">
        <f t="shared" si="0"/>
        <v>285</v>
      </c>
      <c r="I7" s="15">
        <f t="shared" si="0"/>
        <v>31</v>
      </c>
      <c r="J7" s="15">
        <f t="shared" si="0"/>
        <v>13</v>
      </c>
      <c r="K7" s="15">
        <f t="shared" si="0"/>
        <v>13</v>
      </c>
      <c r="L7" s="15">
        <f t="shared" si="0"/>
        <v>303</v>
      </c>
      <c r="M7" s="15">
        <f t="shared" si="0"/>
        <v>124</v>
      </c>
      <c r="N7" s="15">
        <f t="shared" si="0"/>
        <v>886</v>
      </c>
      <c r="O7" s="15">
        <f t="shared" si="0"/>
        <v>93</v>
      </c>
      <c r="P7" s="15">
        <f t="shared" si="0"/>
        <v>0</v>
      </c>
      <c r="Q7" s="15">
        <f t="shared" si="0"/>
        <v>7</v>
      </c>
      <c r="R7" s="15">
        <f t="shared" si="0"/>
        <v>31</v>
      </c>
      <c r="S7" s="15">
        <f t="shared" si="0"/>
        <v>9</v>
      </c>
      <c r="T7" s="15">
        <f t="shared" si="0"/>
        <v>31</v>
      </c>
      <c r="U7" s="125">
        <f t="shared" si="0"/>
        <v>31</v>
      </c>
      <c r="V7" s="15">
        <f t="shared" si="0"/>
        <v>31</v>
      </c>
      <c r="W7" s="15">
        <f t="shared" si="0"/>
        <v>31</v>
      </c>
      <c r="X7" s="15">
        <f t="shared" si="0"/>
        <v>0</v>
      </c>
      <c r="Y7" s="15">
        <f t="shared" si="0"/>
        <v>55</v>
      </c>
      <c r="Z7" s="15">
        <f t="shared" si="0"/>
        <v>103</v>
      </c>
      <c r="AA7" s="15">
        <f t="shared" si="0"/>
        <v>62</v>
      </c>
      <c r="AB7" s="15">
        <f t="shared" si="0"/>
        <v>13</v>
      </c>
      <c r="AC7" s="17">
        <f t="shared" si="0"/>
        <v>31</v>
      </c>
      <c r="AD7" s="120">
        <f t="shared" si="0"/>
        <v>2197</v>
      </c>
    </row>
    <row r="8" spans="1:30" ht="13.5">
      <c r="A8" s="43">
        <v>3</v>
      </c>
      <c r="B8" s="207" t="s">
        <v>24</v>
      </c>
      <c r="C8" s="198" t="s">
        <v>25</v>
      </c>
      <c r="D8" s="200"/>
      <c r="E8" s="117"/>
      <c r="F8" s="111"/>
      <c r="G8" s="21"/>
      <c r="H8" s="21"/>
      <c r="I8" s="20"/>
      <c r="J8" s="20"/>
      <c r="K8" s="15"/>
      <c r="L8" s="15"/>
      <c r="M8" s="15"/>
      <c r="N8" s="20"/>
      <c r="O8" s="20"/>
      <c r="P8" s="20"/>
      <c r="Q8" s="20"/>
      <c r="R8" s="20"/>
      <c r="S8" s="22"/>
      <c r="T8" s="22"/>
      <c r="U8" s="126"/>
      <c r="V8" s="20"/>
      <c r="W8" s="23"/>
      <c r="X8" s="20"/>
      <c r="Y8" s="20"/>
      <c r="Z8" s="20"/>
      <c r="AA8" s="20"/>
      <c r="AB8" s="20"/>
      <c r="AC8" s="22"/>
      <c r="AD8" s="119">
        <f>SUM(E8:AC8)</f>
        <v>0</v>
      </c>
    </row>
    <row r="9" spans="1:30" ht="13.5">
      <c r="A9" s="43">
        <v>4</v>
      </c>
      <c r="B9" s="208"/>
      <c r="C9" s="198" t="s">
        <v>26</v>
      </c>
      <c r="D9" s="200"/>
      <c r="E9" s="116"/>
      <c r="F9" s="20"/>
      <c r="G9" s="21"/>
      <c r="H9" s="21"/>
      <c r="I9" s="20"/>
      <c r="J9" s="20"/>
      <c r="K9" s="20"/>
      <c r="L9" s="15"/>
      <c r="M9" s="15"/>
      <c r="N9" s="20"/>
      <c r="O9" s="20">
        <v>1</v>
      </c>
      <c r="P9" s="20"/>
      <c r="Q9" s="20"/>
      <c r="R9" s="20"/>
      <c r="S9" s="22"/>
      <c r="T9" s="22"/>
      <c r="U9" s="126"/>
      <c r="V9" s="20"/>
      <c r="W9" s="23"/>
      <c r="X9" s="20"/>
      <c r="Y9" s="20"/>
      <c r="Z9" s="20"/>
      <c r="AA9" s="20"/>
      <c r="AB9" s="20"/>
      <c r="AC9" s="22"/>
      <c r="AD9" s="119">
        <f>SUM(E9:AC9)</f>
        <v>1</v>
      </c>
    </row>
    <row r="10" spans="1:30" ht="13.5">
      <c r="A10" s="43">
        <v>5</v>
      </c>
      <c r="B10" s="208"/>
      <c r="C10" s="198" t="s">
        <v>27</v>
      </c>
      <c r="D10" s="200"/>
      <c r="E10" s="116"/>
      <c r="F10" s="20"/>
      <c r="G10" s="21"/>
      <c r="H10" s="21">
        <v>3</v>
      </c>
      <c r="I10" s="20"/>
      <c r="J10" s="20"/>
      <c r="K10" s="20"/>
      <c r="L10" s="15"/>
      <c r="M10" s="15"/>
      <c r="N10" s="20"/>
      <c r="O10" s="20"/>
      <c r="P10" s="20"/>
      <c r="Q10" s="20"/>
      <c r="R10" s="20"/>
      <c r="S10" s="22"/>
      <c r="T10" s="22"/>
      <c r="U10" s="126"/>
      <c r="V10" s="20"/>
      <c r="W10" s="23"/>
      <c r="X10" s="20"/>
      <c r="Y10" s="20"/>
      <c r="Z10" s="20"/>
      <c r="AA10" s="20"/>
      <c r="AB10" s="20"/>
      <c r="AC10" s="22"/>
      <c r="AD10" s="119">
        <f>SUM(E10:AC10)</f>
        <v>3</v>
      </c>
    </row>
    <row r="11" spans="1:30" ht="13.5">
      <c r="A11" s="43">
        <v>6</v>
      </c>
      <c r="B11" s="208"/>
      <c r="C11" s="198" t="s">
        <v>28</v>
      </c>
      <c r="D11" s="200"/>
      <c r="E11" s="116"/>
      <c r="F11" s="20"/>
      <c r="G11" s="21"/>
      <c r="H11" s="21"/>
      <c r="I11" s="20"/>
      <c r="J11" s="20"/>
      <c r="K11" s="15"/>
      <c r="L11" s="20">
        <v>1</v>
      </c>
      <c r="M11" s="20"/>
      <c r="N11" s="20"/>
      <c r="O11" s="20"/>
      <c r="P11" s="20"/>
      <c r="Q11" s="20"/>
      <c r="R11" s="20"/>
      <c r="S11" s="22"/>
      <c r="T11" s="22"/>
      <c r="U11" s="126"/>
      <c r="V11" s="20"/>
      <c r="W11" s="23"/>
      <c r="X11" s="20"/>
      <c r="Y11" s="20">
        <v>7</v>
      </c>
      <c r="Z11" s="20"/>
      <c r="AA11" s="20"/>
      <c r="AB11" s="20"/>
      <c r="AC11" s="22"/>
      <c r="AD11" s="119">
        <f>SUM(E11:AC11)</f>
        <v>8</v>
      </c>
    </row>
    <row r="12" spans="1:30" ht="13.5">
      <c r="A12" s="43">
        <v>7</v>
      </c>
      <c r="B12" s="208"/>
      <c r="C12" s="198" t="s">
        <v>29</v>
      </c>
      <c r="D12" s="200"/>
      <c r="E12" s="118">
        <f aca="true" t="shared" si="1" ref="E12:AD12">E8+E9</f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1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127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33">
        <f t="shared" si="1"/>
        <v>0</v>
      </c>
      <c r="AD12" s="121">
        <f t="shared" si="1"/>
        <v>1</v>
      </c>
    </row>
    <row r="13" spans="1:30" ht="13.5">
      <c r="A13" s="43">
        <v>8</v>
      </c>
      <c r="B13" s="209"/>
      <c r="C13" s="198" t="s">
        <v>30</v>
      </c>
      <c r="D13" s="200"/>
      <c r="E13" s="118">
        <f aca="true" t="shared" si="2" ref="E13:AD13">E10+E11</f>
        <v>0</v>
      </c>
      <c r="F13" s="16">
        <f t="shared" si="2"/>
        <v>0</v>
      </c>
      <c r="G13" s="16">
        <f t="shared" si="2"/>
        <v>0</v>
      </c>
      <c r="H13" s="16">
        <f t="shared" si="2"/>
        <v>3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1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27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7</v>
      </c>
      <c r="Z13" s="16">
        <f t="shared" si="2"/>
        <v>0</v>
      </c>
      <c r="AA13" s="16">
        <f t="shared" si="2"/>
        <v>0</v>
      </c>
      <c r="AB13" s="16">
        <f t="shared" si="2"/>
        <v>0</v>
      </c>
      <c r="AC13" s="33">
        <f t="shared" si="2"/>
        <v>0</v>
      </c>
      <c r="AD13" s="121">
        <f t="shared" si="2"/>
        <v>11</v>
      </c>
    </row>
    <row r="14" spans="1:30" ht="13.5">
      <c r="A14" s="43">
        <v>9</v>
      </c>
      <c r="B14" s="207" t="s">
        <v>31</v>
      </c>
      <c r="C14" s="24" t="s">
        <v>32</v>
      </c>
      <c r="D14" s="42" t="s">
        <v>33</v>
      </c>
      <c r="E14" s="116"/>
      <c r="F14" s="15"/>
      <c r="G14" s="16"/>
      <c r="H14" s="16">
        <v>3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7"/>
      <c r="U14" s="125"/>
      <c r="V14" s="15"/>
      <c r="W14" s="19"/>
      <c r="X14" s="15"/>
      <c r="Y14" s="15"/>
      <c r="Z14" s="15"/>
      <c r="AA14" s="15"/>
      <c r="AB14" s="15"/>
      <c r="AC14" s="17"/>
      <c r="AD14" s="120">
        <f aca="true" t="shared" si="3" ref="AD14:AD21">SUM(E14:AC14)</f>
        <v>3</v>
      </c>
    </row>
    <row r="15" spans="1:30" ht="13.5">
      <c r="A15" s="44"/>
      <c r="B15" s="208"/>
      <c r="C15" s="27"/>
      <c r="D15" s="42" t="s">
        <v>34</v>
      </c>
      <c r="E15" s="116"/>
      <c r="F15" s="16"/>
      <c r="G15" s="16"/>
      <c r="H15" s="16">
        <v>57</v>
      </c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7"/>
      <c r="T15" s="17"/>
      <c r="U15" s="125"/>
      <c r="V15" s="15"/>
      <c r="W15" s="19"/>
      <c r="X15" s="15"/>
      <c r="Y15" s="15"/>
      <c r="Z15" s="15"/>
      <c r="AA15" s="15"/>
      <c r="AB15" s="15"/>
      <c r="AC15" s="17"/>
      <c r="AD15" s="120">
        <f t="shared" si="3"/>
        <v>57</v>
      </c>
    </row>
    <row r="16" spans="1:30" ht="13.5">
      <c r="A16" s="43">
        <v>10</v>
      </c>
      <c r="B16" s="208"/>
      <c r="C16" s="24" t="s">
        <v>26</v>
      </c>
      <c r="D16" s="42" t="s">
        <v>33</v>
      </c>
      <c r="E16" s="116">
        <v>3</v>
      </c>
      <c r="F16" s="15"/>
      <c r="G16" s="16"/>
      <c r="H16" s="16">
        <v>32</v>
      </c>
      <c r="I16" s="15">
        <v>10</v>
      </c>
      <c r="J16" s="15"/>
      <c r="K16" s="15">
        <v>1</v>
      </c>
      <c r="L16" s="15">
        <v>59</v>
      </c>
      <c r="M16" s="15">
        <v>3</v>
      </c>
      <c r="N16" s="15">
        <v>76</v>
      </c>
      <c r="O16" s="15">
        <v>19</v>
      </c>
      <c r="P16" s="15"/>
      <c r="Q16" s="15"/>
      <c r="R16" s="15">
        <v>6</v>
      </c>
      <c r="S16" s="17"/>
      <c r="T16" s="17">
        <v>17</v>
      </c>
      <c r="U16" s="125">
        <v>2</v>
      </c>
      <c r="V16" s="15"/>
      <c r="W16" s="19"/>
      <c r="X16" s="15"/>
      <c r="Y16" s="15">
        <v>6</v>
      </c>
      <c r="Z16" s="15"/>
      <c r="AA16" s="15"/>
      <c r="AB16" s="15"/>
      <c r="AC16" s="17">
        <v>1</v>
      </c>
      <c r="AD16" s="120">
        <f t="shared" si="3"/>
        <v>235</v>
      </c>
    </row>
    <row r="17" spans="1:30" ht="13.5">
      <c r="A17" s="43" t="s">
        <v>35</v>
      </c>
      <c r="B17" s="208"/>
      <c r="C17" s="27"/>
      <c r="D17" s="42" t="s">
        <v>34</v>
      </c>
      <c r="E17" s="116">
        <f>1*60+37</f>
        <v>97</v>
      </c>
      <c r="F17" s="15"/>
      <c r="G17" s="16"/>
      <c r="H17" s="16">
        <f>16*60+44</f>
        <v>1004</v>
      </c>
      <c r="I17" s="16">
        <f>2*60</f>
        <v>120</v>
      </c>
      <c r="J17" s="15"/>
      <c r="K17" s="15">
        <v>15</v>
      </c>
      <c r="L17" s="15">
        <f>45*60</f>
        <v>2700</v>
      </c>
      <c r="M17" s="15">
        <v>166</v>
      </c>
      <c r="N17" s="15">
        <f>64*60+6</f>
        <v>3846</v>
      </c>
      <c r="O17" s="15">
        <f>8*60+46</f>
        <v>526</v>
      </c>
      <c r="P17" s="15"/>
      <c r="Q17" s="15"/>
      <c r="R17" s="15">
        <v>105</v>
      </c>
      <c r="S17" s="17"/>
      <c r="T17" s="17">
        <v>589</v>
      </c>
      <c r="U17" s="125">
        <v>36</v>
      </c>
      <c r="V17" s="15"/>
      <c r="W17" s="19"/>
      <c r="X17" s="15"/>
      <c r="Y17" s="15">
        <v>144</v>
      </c>
      <c r="Z17" s="15"/>
      <c r="AA17" s="15"/>
      <c r="AB17" s="15"/>
      <c r="AC17" s="17">
        <v>360</v>
      </c>
      <c r="AD17" s="120">
        <f t="shared" si="3"/>
        <v>9708</v>
      </c>
    </row>
    <row r="18" spans="1:30" ht="13.5">
      <c r="A18" s="43">
        <v>11</v>
      </c>
      <c r="B18" s="208"/>
      <c r="C18" s="24" t="s">
        <v>27</v>
      </c>
      <c r="D18" s="42" t="s">
        <v>33</v>
      </c>
      <c r="E18" s="116"/>
      <c r="F18" s="15"/>
      <c r="G18" s="16"/>
      <c r="H18" s="16">
        <v>14</v>
      </c>
      <c r="I18" s="15"/>
      <c r="J18" s="15">
        <v>1</v>
      </c>
      <c r="K18" s="15"/>
      <c r="L18" s="15">
        <v>26</v>
      </c>
      <c r="M18" s="15">
        <v>4</v>
      </c>
      <c r="N18" s="15">
        <v>59</v>
      </c>
      <c r="O18" s="15"/>
      <c r="P18" s="15"/>
      <c r="Q18" s="15"/>
      <c r="R18" s="15">
        <v>13</v>
      </c>
      <c r="S18" s="17"/>
      <c r="T18" s="17"/>
      <c r="U18" s="125"/>
      <c r="V18" s="15"/>
      <c r="W18" s="19"/>
      <c r="X18" s="15"/>
      <c r="Y18" s="15"/>
      <c r="Z18" s="15">
        <v>11</v>
      </c>
      <c r="AA18" s="15"/>
      <c r="AB18" s="15"/>
      <c r="AC18" s="17">
        <v>1</v>
      </c>
      <c r="AD18" s="120">
        <f t="shared" si="3"/>
        <v>129</v>
      </c>
    </row>
    <row r="19" spans="1:30" ht="13.5">
      <c r="A19" s="44"/>
      <c r="B19" s="208"/>
      <c r="C19" s="27"/>
      <c r="D19" s="42" t="s">
        <v>34</v>
      </c>
      <c r="E19" s="116"/>
      <c r="F19" s="16"/>
      <c r="G19" s="16"/>
      <c r="H19" s="16">
        <f>8*60+36</f>
        <v>516</v>
      </c>
      <c r="I19" s="16"/>
      <c r="J19" s="15">
        <f>1*60+29</f>
        <v>89</v>
      </c>
      <c r="K19" s="15"/>
      <c r="L19" s="15">
        <f>27*60</f>
        <v>1620</v>
      </c>
      <c r="M19" s="15">
        <v>798</v>
      </c>
      <c r="N19" s="15">
        <f>93*60+8</f>
        <v>5588</v>
      </c>
      <c r="O19" s="15"/>
      <c r="P19" s="15"/>
      <c r="Q19" s="15"/>
      <c r="R19" s="15">
        <v>406</v>
      </c>
      <c r="S19" s="17"/>
      <c r="T19" s="17"/>
      <c r="U19" s="125"/>
      <c r="V19" s="15"/>
      <c r="W19" s="19"/>
      <c r="X19" s="15"/>
      <c r="Y19" s="15"/>
      <c r="Z19" s="15">
        <f>15*60+7</f>
        <v>907</v>
      </c>
      <c r="AA19" s="15"/>
      <c r="AB19" s="15"/>
      <c r="AC19" s="17">
        <v>60</v>
      </c>
      <c r="AD19" s="120">
        <f t="shared" si="3"/>
        <v>9984</v>
      </c>
    </row>
    <row r="20" spans="1:30" ht="13.5">
      <c r="A20" s="43">
        <v>12</v>
      </c>
      <c r="B20" s="208"/>
      <c r="C20" s="24" t="s">
        <v>28</v>
      </c>
      <c r="D20" s="42" t="s">
        <v>33</v>
      </c>
      <c r="E20" s="116"/>
      <c r="F20" s="15"/>
      <c r="G20" s="16"/>
      <c r="H20" s="16">
        <v>48</v>
      </c>
      <c r="I20" s="15"/>
      <c r="J20" s="15">
        <v>5</v>
      </c>
      <c r="K20" s="15">
        <v>2</v>
      </c>
      <c r="L20" s="15">
        <v>15</v>
      </c>
      <c r="M20" s="15">
        <v>35</v>
      </c>
      <c r="N20" s="15">
        <v>24</v>
      </c>
      <c r="O20" s="15">
        <v>3</v>
      </c>
      <c r="P20" s="15"/>
      <c r="Q20" s="15">
        <v>2</v>
      </c>
      <c r="R20" s="15">
        <v>8</v>
      </c>
      <c r="S20" s="17">
        <v>5</v>
      </c>
      <c r="T20" s="17"/>
      <c r="U20" s="125">
        <v>5</v>
      </c>
      <c r="V20" s="15">
        <v>6</v>
      </c>
      <c r="W20" s="19">
        <v>1</v>
      </c>
      <c r="X20" s="15"/>
      <c r="Y20" s="15">
        <v>8</v>
      </c>
      <c r="Z20" s="15">
        <v>1</v>
      </c>
      <c r="AA20" s="15">
        <v>1</v>
      </c>
      <c r="AB20" s="15">
        <v>1</v>
      </c>
      <c r="AC20" s="17">
        <v>2</v>
      </c>
      <c r="AD20" s="120">
        <f t="shared" si="3"/>
        <v>172</v>
      </c>
    </row>
    <row r="21" spans="1:30" ht="13.5">
      <c r="A21" s="44"/>
      <c r="B21" s="208"/>
      <c r="C21" s="27"/>
      <c r="D21" s="42" t="s">
        <v>34</v>
      </c>
      <c r="E21" s="116"/>
      <c r="F21" s="16"/>
      <c r="G21" s="16"/>
      <c r="H21" s="16">
        <f>22*60+57</f>
        <v>1377</v>
      </c>
      <c r="I21" s="16"/>
      <c r="J21" s="15">
        <f>1*60+1</f>
        <v>61</v>
      </c>
      <c r="K21" s="15">
        <f>1*60+45</f>
        <v>105</v>
      </c>
      <c r="L21" s="15">
        <f>6*60</f>
        <v>360</v>
      </c>
      <c r="M21" s="15">
        <v>3070</v>
      </c>
      <c r="N21" s="15">
        <f>23*60+8</f>
        <v>1388</v>
      </c>
      <c r="O21" s="15">
        <v>14</v>
      </c>
      <c r="P21" s="15"/>
      <c r="Q21" s="15">
        <v>195</v>
      </c>
      <c r="R21" s="15">
        <v>301</v>
      </c>
      <c r="S21" s="17">
        <v>263</v>
      </c>
      <c r="T21" s="17"/>
      <c r="U21" s="125">
        <f>2*60+41</f>
        <v>161</v>
      </c>
      <c r="V21" s="15">
        <f>8*60+34</f>
        <v>514</v>
      </c>
      <c r="W21" s="19">
        <v>18</v>
      </c>
      <c r="X21" s="15"/>
      <c r="Y21" s="15">
        <v>430</v>
      </c>
      <c r="Z21" s="15">
        <v>7</v>
      </c>
      <c r="AA21" s="15">
        <f>1*60+27</f>
        <v>87</v>
      </c>
      <c r="AB21" s="15">
        <v>10</v>
      </c>
      <c r="AC21" s="17">
        <v>72</v>
      </c>
      <c r="AD21" s="120">
        <f t="shared" si="3"/>
        <v>8433</v>
      </c>
    </row>
    <row r="22" spans="1:30" ht="13.5">
      <c r="A22" s="43">
        <v>13</v>
      </c>
      <c r="B22" s="208"/>
      <c r="C22" s="198" t="s">
        <v>36</v>
      </c>
      <c r="D22" s="200"/>
      <c r="E22" s="116">
        <f aca="true" t="shared" si="4" ref="E22:AD22">E14+E16+E18+E20</f>
        <v>3</v>
      </c>
      <c r="F22" s="15">
        <f t="shared" si="4"/>
        <v>0</v>
      </c>
      <c r="G22" s="15">
        <f t="shared" si="4"/>
        <v>0</v>
      </c>
      <c r="H22" s="15">
        <f t="shared" si="4"/>
        <v>97</v>
      </c>
      <c r="I22" s="15">
        <f t="shared" si="4"/>
        <v>10</v>
      </c>
      <c r="J22" s="15">
        <f t="shared" si="4"/>
        <v>6</v>
      </c>
      <c r="K22" s="15">
        <f t="shared" si="4"/>
        <v>3</v>
      </c>
      <c r="L22" s="15">
        <f t="shared" si="4"/>
        <v>100</v>
      </c>
      <c r="M22" s="15">
        <f t="shared" si="4"/>
        <v>42</v>
      </c>
      <c r="N22" s="15">
        <f t="shared" si="4"/>
        <v>159</v>
      </c>
      <c r="O22" s="15">
        <f>O14+O16+O18+O20</f>
        <v>22</v>
      </c>
      <c r="P22" s="15">
        <f t="shared" si="4"/>
        <v>0</v>
      </c>
      <c r="Q22" s="15">
        <f t="shared" si="4"/>
        <v>2</v>
      </c>
      <c r="R22" s="15">
        <f t="shared" si="4"/>
        <v>27</v>
      </c>
      <c r="S22" s="15">
        <f t="shared" si="4"/>
        <v>5</v>
      </c>
      <c r="T22" s="15">
        <f t="shared" si="4"/>
        <v>17</v>
      </c>
      <c r="U22" s="15">
        <f t="shared" si="4"/>
        <v>7</v>
      </c>
      <c r="V22" s="15">
        <f t="shared" si="4"/>
        <v>6</v>
      </c>
      <c r="W22" s="15">
        <f t="shared" si="4"/>
        <v>1</v>
      </c>
      <c r="X22" s="15">
        <f t="shared" si="4"/>
        <v>0</v>
      </c>
      <c r="Y22" s="15">
        <f t="shared" si="4"/>
        <v>14</v>
      </c>
      <c r="Z22" s="15">
        <f t="shared" si="4"/>
        <v>12</v>
      </c>
      <c r="AA22" s="15">
        <f t="shared" si="4"/>
        <v>1</v>
      </c>
      <c r="AB22" s="15">
        <f t="shared" si="4"/>
        <v>1</v>
      </c>
      <c r="AC22" s="17">
        <f t="shared" si="4"/>
        <v>4</v>
      </c>
      <c r="AD22" s="120">
        <f t="shared" si="4"/>
        <v>539</v>
      </c>
    </row>
    <row r="23" spans="1:30" ht="13.5">
      <c r="A23" s="43">
        <v>14</v>
      </c>
      <c r="B23" s="209"/>
      <c r="C23" s="198" t="s">
        <v>37</v>
      </c>
      <c r="D23" s="200"/>
      <c r="E23" s="116">
        <f>E15+E17+E19+E21</f>
        <v>97</v>
      </c>
      <c r="F23" s="15">
        <f>F15+F17+F19+F21</f>
        <v>0</v>
      </c>
      <c r="G23" s="15">
        <f>G15+G17+G19+G21</f>
        <v>0</v>
      </c>
      <c r="H23" s="15">
        <f>H15+H17+H19+H21</f>
        <v>2954</v>
      </c>
      <c r="I23" s="15">
        <f>I15+I17+I19+I21</f>
        <v>120</v>
      </c>
      <c r="J23" s="15">
        <f aca="true" t="shared" si="5" ref="J23:AD23">J15+J17+J19+J21</f>
        <v>150</v>
      </c>
      <c r="K23" s="15">
        <f t="shared" si="5"/>
        <v>120</v>
      </c>
      <c r="L23" s="15">
        <f t="shared" si="5"/>
        <v>4680</v>
      </c>
      <c r="M23" s="15">
        <f t="shared" si="5"/>
        <v>4034</v>
      </c>
      <c r="N23" s="15">
        <f t="shared" si="5"/>
        <v>10822</v>
      </c>
      <c r="O23" s="15">
        <f>O15+O17+O19+O21</f>
        <v>540</v>
      </c>
      <c r="P23" s="15">
        <f t="shared" si="5"/>
        <v>0</v>
      </c>
      <c r="Q23" s="15">
        <f t="shared" si="5"/>
        <v>195</v>
      </c>
      <c r="R23" s="15">
        <f t="shared" si="5"/>
        <v>812</v>
      </c>
      <c r="S23" s="15">
        <f t="shared" si="5"/>
        <v>263</v>
      </c>
      <c r="T23" s="15">
        <f t="shared" si="5"/>
        <v>589</v>
      </c>
      <c r="U23" s="15">
        <f t="shared" si="5"/>
        <v>197</v>
      </c>
      <c r="V23" s="15">
        <f t="shared" si="5"/>
        <v>514</v>
      </c>
      <c r="W23" s="15">
        <f t="shared" si="5"/>
        <v>18</v>
      </c>
      <c r="X23" s="15">
        <f t="shared" si="5"/>
        <v>0</v>
      </c>
      <c r="Y23" s="15">
        <f t="shared" si="5"/>
        <v>574</v>
      </c>
      <c r="Z23" s="15">
        <f t="shared" si="5"/>
        <v>914</v>
      </c>
      <c r="AA23" s="15">
        <f t="shared" si="5"/>
        <v>87</v>
      </c>
      <c r="AB23" s="15">
        <f t="shared" si="5"/>
        <v>10</v>
      </c>
      <c r="AC23" s="17">
        <f t="shared" si="5"/>
        <v>492</v>
      </c>
      <c r="AD23" s="120">
        <f t="shared" si="5"/>
        <v>28182</v>
      </c>
    </row>
    <row r="24" spans="1:30" ht="13.5">
      <c r="A24" s="43">
        <v>16</v>
      </c>
      <c r="B24" s="198" t="s">
        <v>39</v>
      </c>
      <c r="C24" s="200"/>
      <c r="D24" s="200"/>
      <c r="E24" s="116">
        <f aca="true" t="shared" si="6" ref="E24:AD24">E7-E12</f>
        <v>14</v>
      </c>
      <c r="F24" s="15">
        <f t="shared" si="6"/>
        <v>0</v>
      </c>
      <c r="G24" s="15">
        <f t="shared" si="6"/>
        <v>0</v>
      </c>
      <c r="H24" s="15">
        <f t="shared" si="6"/>
        <v>285</v>
      </c>
      <c r="I24" s="15">
        <f t="shared" si="6"/>
        <v>31</v>
      </c>
      <c r="J24" s="15">
        <f t="shared" si="6"/>
        <v>13</v>
      </c>
      <c r="K24" s="15">
        <f t="shared" si="6"/>
        <v>13</v>
      </c>
      <c r="L24" s="15">
        <f t="shared" si="6"/>
        <v>303</v>
      </c>
      <c r="M24" s="15">
        <f t="shared" si="6"/>
        <v>124</v>
      </c>
      <c r="N24" s="15">
        <f t="shared" si="6"/>
        <v>886</v>
      </c>
      <c r="O24" s="15">
        <f>O7-O12</f>
        <v>92</v>
      </c>
      <c r="P24" s="15">
        <f t="shared" si="6"/>
        <v>0</v>
      </c>
      <c r="Q24" s="15">
        <f t="shared" si="6"/>
        <v>7</v>
      </c>
      <c r="R24" s="15">
        <f t="shared" si="6"/>
        <v>31</v>
      </c>
      <c r="S24" s="15">
        <f t="shared" si="6"/>
        <v>9</v>
      </c>
      <c r="T24" s="15">
        <f t="shared" si="6"/>
        <v>31</v>
      </c>
      <c r="U24" s="15">
        <f t="shared" si="6"/>
        <v>31</v>
      </c>
      <c r="V24" s="15">
        <f t="shared" si="6"/>
        <v>31</v>
      </c>
      <c r="W24" s="15">
        <f t="shared" si="6"/>
        <v>31</v>
      </c>
      <c r="X24" s="15">
        <f t="shared" si="6"/>
        <v>0</v>
      </c>
      <c r="Y24" s="15">
        <f t="shared" si="6"/>
        <v>55</v>
      </c>
      <c r="Z24" s="15">
        <f t="shared" si="6"/>
        <v>103</v>
      </c>
      <c r="AA24" s="15">
        <f t="shared" si="6"/>
        <v>62</v>
      </c>
      <c r="AB24" s="15">
        <f t="shared" si="6"/>
        <v>13</v>
      </c>
      <c r="AC24" s="17">
        <f t="shared" si="6"/>
        <v>31</v>
      </c>
      <c r="AD24" s="120">
        <f t="shared" si="6"/>
        <v>2196</v>
      </c>
    </row>
    <row r="25" spans="1:30" ht="14.25" thickBot="1">
      <c r="A25" s="48">
        <v>17</v>
      </c>
      <c r="B25" s="215" t="s">
        <v>40</v>
      </c>
      <c r="C25" s="216"/>
      <c r="D25" s="216"/>
      <c r="E25" s="84">
        <f aca="true" t="shared" si="7" ref="E25:AD25">E24-E22-E13</f>
        <v>11</v>
      </c>
      <c r="F25" s="85">
        <f t="shared" si="7"/>
        <v>0</v>
      </c>
      <c r="G25" s="85">
        <f t="shared" si="7"/>
        <v>0</v>
      </c>
      <c r="H25" s="85">
        <f t="shared" si="7"/>
        <v>185</v>
      </c>
      <c r="I25" s="85">
        <f t="shared" si="7"/>
        <v>21</v>
      </c>
      <c r="J25" s="85">
        <f t="shared" si="7"/>
        <v>7</v>
      </c>
      <c r="K25" s="85">
        <f t="shared" si="7"/>
        <v>10</v>
      </c>
      <c r="L25" s="85">
        <f t="shared" si="7"/>
        <v>202</v>
      </c>
      <c r="M25" s="85">
        <f t="shared" si="7"/>
        <v>82</v>
      </c>
      <c r="N25" s="85">
        <f t="shared" si="7"/>
        <v>727</v>
      </c>
      <c r="O25" s="85">
        <f t="shared" si="7"/>
        <v>70</v>
      </c>
      <c r="P25" s="85">
        <f t="shared" si="7"/>
        <v>0</v>
      </c>
      <c r="Q25" s="85">
        <f t="shared" si="7"/>
        <v>5</v>
      </c>
      <c r="R25" s="85">
        <f t="shared" si="7"/>
        <v>4</v>
      </c>
      <c r="S25" s="85">
        <f t="shared" si="7"/>
        <v>4</v>
      </c>
      <c r="T25" s="85">
        <f t="shared" si="7"/>
        <v>14</v>
      </c>
      <c r="U25" s="85">
        <f t="shared" si="7"/>
        <v>24</v>
      </c>
      <c r="V25" s="85">
        <f t="shared" si="7"/>
        <v>25</v>
      </c>
      <c r="W25" s="85">
        <f t="shared" si="7"/>
        <v>30</v>
      </c>
      <c r="X25" s="85">
        <f t="shared" si="7"/>
        <v>0</v>
      </c>
      <c r="Y25" s="85">
        <f t="shared" si="7"/>
        <v>34</v>
      </c>
      <c r="Z25" s="85">
        <f t="shared" si="7"/>
        <v>91</v>
      </c>
      <c r="AA25" s="85">
        <f t="shared" si="7"/>
        <v>61</v>
      </c>
      <c r="AB25" s="85">
        <f t="shared" si="7"/>
        <v>12</v>
      </c>
      <c r="AC25" s="112">
        <f t="shared" si="7"/>
        <v>27</v>
      </c>
      <c r="AD25" s="122">
        <f t="shared" si="7"/>
        <v>1646</v>
      </c>
    </row>
    <row r="26" spans="1:30" ht="14.25" thickBot="1">
      <c r="A26" s="92">
        <v>18</v>
      </c>
      <c r="B26" s="217" t="s">
        <v>41</v>
      </c>
      <c r="C26" s="218"/>
      <c r="D26" s="218"/>
      <c r="E26" s="93">
        <f aca="true" t="shared" si="8" ref="E26:AD26">IF(E24=0,0,(E25+E16)/E24)</f>
        <v>1</v>
      </c>
      <c r="F26" s="94">
        <f t="shared" si="8"/>
        <v>0</v>
      </c>
      <c r="G26" s="94">
        <f t="shared" si="8"/>
        <v>0</v>
      </c>
      <c r="H26" s="94">
        <f t="shared" si="8"/>
        <v>0.7614035087719299</v>
      </c>
      <c r="I26" s="94">
        <f t="shared" si="8"/>
        <v>1</v>
      </c>
      <c r="J26" s="94">
        <f t="shared" si="8"/>
        <v>0.5384615384615384</v>
      </c>
      <c r="K26" s="94">
        <f t="shared" si="8"/>
        <v>0.8461538461538461</v>
      </c>
      <c r="L26" s="94">
        <f t="shared" si="8"/>
        <v>0.8613861386138614</v>
      </c>
      <c r="M26" s="94">
        <f t="shared" si="8"/>
        <v>0.6854838709677419</v>
      </c>
      <c r="N26" s="94">
        <f t="shared" si="8"/>
        <v>0.9063205417607223</v>
      </c>
      <c r="O26" s="94">
        <f t="shared" si="8"/>
        <v>0.967391304347826</v>
      </c>
      <c r="P26" s="94">
        <f t="shared" si="8"/>
        <v>0</v>
      </c>
      <c r="Q26" s="94">
        <f t="shared" si="8"/>
        <v>0.7142857142857143</v>
      </c>
      <c r="R26" s="94">
        <f t="shared" si="8"/>
        <v>0.3225806451612903</v>
      </c>
      <c r="S26" s="94">
        <f t="shared" si="8"/>
        <v>0.4444444444444444</v>
      </c>
      <c r="T26" s="94">
        <f t="shared" si="8"/>
        <v>1</v>
      </c>
      <c r="U26" s="94">
        <f t="shared" si="8"/>
        <v>0.8387096774193549</v>
      </c>
      <c r="V26" s="94">
        <f t="shared" si="8"/>
        <v>0.8064516129032258</v>
      </c>
      <c r="W26" s="94">
        <f t="shared" si="8"/>
        <v>0.967741935483871</v>
      </c>
      <c r="X26" s="94">
        <f>IF(X24=0,0,(X25+X16)/X24)</f>
        <v>0</v>
      </c>
      <c r="Y26" s="94">
        <f>IF(Y24=0,0,(Y25+Y16)/Y24)</f>
        <v>0.7272727272727273</v>
      </c>
      <c r="Z26" s="94">
        <f t="shared" si="8"/>
        <v>0.883495145631068</v>
      </c>
      <c r="AA26" s="94">
        <f t="shared" si="8"/>
        <v>0.9838709677419355</v>
      </c>
      <c r="AB26" s="94">
        <f t="shared" si="8"/>
        <v>0.9230769230769231</v>
      </c>
      <c r="AC26" s="114">
        <f t="shared" si="8"/>
        <v>0.9032258064516129</v>
      </c>
      <c r="AD26" s="115">
        <f t="shared" si="8"/>
        <v>0.8565573770491803</v>
      </c>
    </row>
    <row r="27" spans="1:30" ht="14.25" thickBot="1">
      <c r="A27" s="87">
        <v>19</v>
      </c>
      <c r="B27" s="219" t="s">
        <v>42</v>
      </c>
      <c r="C27" s="220"/>
      <c r="D27" s="220"/>
      <c r="E27" s="88">
        <f aca="true" t="shared" si="9" ref="E27:AD27">+E23/E22</f>
        <v>32.333333333333336</v>
      </c>
      <c r="F27" s="89" t="e">
        <f t="shared" si="9"/>
        <v>#DIV/0!</v>
      </c>
      <c r="G27" s="89" t="e">
        <f t="shared" si="9"/>
        <v>#DIV/0!</v>
      </c>
      <c r="H27" s="89">
        <f t="shared" si="9"/>
        <v>30.45360824742268</v>
      </c>
      <c r="I27" s="89">
        <f t="shared" si="9"/>
        <v>12</v>
      </c>
      <c r="J27" s="89">
        <f t="shared" si="9"/>
        <v>25</v>
      </c>
      <c r="K27" s="89">
        <f t="shared" si="9"/>
        <v>40</v>
      </c>
      <c r="L27" s="89">
        <f t="shared" si="9"/>
        <v>46.8</v>
      </c>
      <c r="M27" s="89">
        <f t="shared" si="9"/>
        <v>96.04761904761905</v>
      </c>
      <c r="N27" s="89">
        <f t="shared" si="9"/>
        <v>68.062893081761</v>
      </c>
      <c r="O27" s="89">
        <f t="shared" si="9"/>
        <v>24.545454545454547</v>
      </c>
      <c r="P27" s="89" t="e">
        <f t="shared" si="9"/>
        <v>#DIV/0!</v>
      </c>
      <c r="Q27" s="89">
        <f t="shared" si="9"/>
        <v>97.5</v>
      </c>
      <c r="R27" s="89">
        <f t="shared" si="9"/>
        <v>30.074074074074073</v>
      </c>
      <c r="S27" s="89">
        <f t="shared" si="9"/>
        <v>52.6</v>
      </c>
      <c r="T27" s="89">
        <f t="shared" si="9"/>
        <v>34.64705882352941</v>
      </c>
      <c r="U27" s="89">
        <f t="shared" si="9"/>
        <v>28.142857142857142</v>
      </c>
      <c r="V27" s="89">
        <f t="shared" si="9"/>
        <v>85.66666666666667</v>
      </c>
      <c r="W27" s="89">
        <f t="shared" si="9"/>
        <v>18</v>
      </c>
      <c r="X27" s="89" t="e">
        <f t="shared" si="9"/>
        <v>#DIV/0!</v>
      </c>
      <c r="Y27" s="89">
        <f t="shared" si="9"/>
        <v>41</v>
      </c>
      <c r="Z27" s="89">
        <f t="shared" si="9"/>
        <v>76.16666666666667</v>
      </c>
      <c r="AA27" s="89">
        <f t="shared" si="9"/>
        <v>87</v>
      </c>
      <c r="AB27" s="89">
        <f t="shared" si="9"/>
        <v>10</v>
      </c>
      <c r="AC27" s="113">
        <f t="shared" si="9"/>
        <v>123</v>
      </c>
      <c r="AD27" s="103">
        <f t="shared" si="9"/>
        <v>52.285714285714285</v>
      </c>
    </row>
  </sheetData>
  <mergeCells count="21">
    <mergeCell ref="A1:AD1"/>
    <mergeCell ref="A2:AD2"/>
    <mergeCell ref="A3:AD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" right="0" top="0.984251968503937" bottom="0.984251968503937" header="0" footer="0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S4" sqref="S1:S16384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5" width="5.28125" style="0" customWidth="1"/>
    <col min="6" max="6" width="0.13671875" style="0" hidden="1" customWidth="1"/>
    <col min="7" max="7" width="6.00390625" style="0" hidden="1" customWidth="1"/>
    <col min="8" max="8" width="6.00390625" style="0" bestFit="1" customWidth="1"/>
    <col min="9" max="9" width="6.28125" style="0" bestFit="1" customWidth="1"/>
    <col min="10" max="11" width="5.28125" style="0" bestFit="1" customWidth="1"/>
    <col min="12" max="13" width="6.00390625" style="0" bestFit="1" customWidth="1"/>
    <col min="14" max="14" width="7.00390625" style="0" bestFit="1" customWidth="1"/>
    <col min="15" max="15" width="5.28125" style="0" bestFit="1" customWidth="1"/>
    <col min="16" max="16" width="7.00390625" style="0" bestFit="1" customWidth="1"/>
    <col min="17" max="18" width="6.00390625" style="0" bestFit="1" customWidth="1"/>
    <col min="19" max="19" width="5.28125" style="0" hidden="1" customWidth="1"/>
    <col min="20" max="23" width="5.28125" style="0" bestFit="1" customWidth="1"/>
    <col min="24" max="24" width="6.00390625" style="0" hidden="1" customWidth="1"/>
    <col min="25" max="29" width="5.28125" style="0" bestFit="1" customWidth="1"/>
    <col min="30" max="30" width="7.00390625" style="0" bestFit="1" customWidth="1"/>
    <col min="31" max="80" width="6.421875" style="0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30" t="s">
        <v>59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>
      <c r="A4" s="153" t="s">
        <v>0</v>
      </c>
      <c r="B4" s="224" t="s">
        <v>1</v>
      </c>
      <c r="C4" s="224"/>
      <c r="D4" s="231"/>
      <c r="E4" s="70" t="s">
        <v>20</v>
      </c>
      <c r="F4" s="108" t="s">
        <v>48</v>
      </c>
      <c r="G4" s="108" t="s">
        <v>3</v>
      </c>
      <c r="H4" s="108" t="s">
        <v>49</v>
      </c>
      <c r="I4" s="108" t="s">
        <v>2</v>
      </c>
      <c r="J4" s="108" t="s">
        <v>19</v>
      </c>
      <c r="K4" s="109" t="s">
        <v>50</v>
      </c>
      <c r="L4" s="108" t="s">
        <v>15</v>
      </c>
      <c r="M4" s="108" t="s">
        <v>4</v>
      </c>
      <c r="N4" s="108" t="s">
        <v>5</v>
      </c>
      <c r="O4" s="108" t="s">
        <v>7</v>
      </c>
      <c r="P4" s="108" t="s">
        <v>6</v>
      </c>
      <c r="Q4" s="110" t="s">
        <v>8</v>
      </c>
      <c r="R4" s="110" t="s">
        <v>9</v>
      </c>
      <c r="S4" s="110" t="s">
        <v>54</v>
      </c>
      <c r="T4" s="108" t="s">
        <v>10</v>
      </c>
      <c r="U4" s="108" t="s">
        <v>17</v>
      </c>
      <c r="V4" s="110" t="s">
        <v>11</v>
      </c>
      <c r="W4" s="110" t="s">
        <v>12</v>
      </c>
      <c r="X4" s="110" t="s">
        <v>13</v>
      </c>
      <c r="Y4" s="110" t="s">
        <v>14</v>
      </c>
      <c r="Z4" s="110" t="s">
        <v>46</v>
      </c>
      <c r="AA4" s="110" t="s">
        <v>18</v>
      </c>
      <c r="AB4" s="110" t="s">
        <v>16</v>
      </c>
      <c r="AC4" s="71" t="s">
        <v>47</v>
      </c>
      <c r="AD4" s="97" t="s">
        <v>21</v>
      </c>
    </row>
    <row r="5" spans="1:30" ht="13.5">
      <c r="A5" s="131">
        <v>1</v>
      </c>
      <c r="B5" s="222" t="s">
        <v>22</v>
      </c>
      <c r="C5" s="222"/>
      <c r="D5" s="222"/>
      <c r="E5" s="60">
        <v>13</v>
      </c>
      <c r="F5" s="11"/>
      <c r="G5" s="107"/>
      <c r="H5" s="107">
        <v>292</v>
      </c>
      <c r="I5" s="11">
        <v>31</v>
      </c>
      <c r="J5" s="11">
        <v>13</v>
      </c>
      <c r="K5" s="11">
        <v>13</v>
      </c>
      <c r="L5" s="11">
        <v>280</v>
      </c>
      <c r="M5" s="11">
        <v>132</v>
      </c>
      <c r="N5" s="11">
        <v>863</v>
      </c>
      <c r="O5" s="11">
        <v>93</v>
      </c>
      <c r="P5" s="11">
        <v>217</v>
      </c>
      <c r="Q5" s="11">
        <v>4</v>
      </c>
      <c r="R5" s="11">
        <v>31</v>
      </c>
      <c r="S5" s="12"/>
      <c r="T5" s="12">
        <v>31</v>
      </c>
      <c r="U5" s="9">
        <v>31</v>
      </c>
      <c r="V5" s="137">
        <v>26</v>
      </c>
      <c r="W5" s="10">
        <v>31</v>
      </c>
      <c r="X5" s="11"/>
      <c r="Y5" s="11">
        <v>54</v>
      </c>
      <c r="Z5" s="11">
        <v>104</v>
      </c>
      <c r="AA5" s="11">
        <v>62</v>
      </c>
      <c r="AB5" s="11">
        <v>14</v>
      </c>
      <c r="AC5" s="61">
        <v>30</v>
      </c>
      <c r="AD5" s="119">
        <f>SUM(E5:AC5)</f>
        <v>2365</v>
      </c>
    </row>
    <row r="6" spans="1:30" ht="13.5">
      <c r="A6" s="132">
        <v>2</v>
      </c>
      <c r="B6" s="200" t="s">
        <v>23</v>
      </c>
      <c r="C6" s="200"/>
      <c r="D6" s="200"/>
      <c r="E6" s="116"/>
      <c r="F6" s="15"/>
      <c r="G6" s="16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  <c r="T6" s="17"/>
      <c r="U6" s="18"/>
      <c r="V6" s="138"/>
      <c r="W6" s="19"/>
      <c r="X6" s="15"/>
      <c r="Y6" s="15"/>
      <c r="Z6" s="15"/>
      <c r="AA6" s="15"/>
      <c r="AB6" s="15"/>
      <c r="AC6" s="128"/>
      <c r="AD6" s="119">
        <f>SUM(E6:AC6)</f>
        <v>0</v>
      </c>
    </row>
    <row r="7" spans="1:30" ht="13.5">
      <c r="A7" s="132">
        <v>15</v>
      </c>
      <c r="B7" s="200" t="s">
        <v>38</v>
      </c>
      <c r="C7" s="200"/>
      <c r="D7" s="200"/>
      <c r="E7" s="116">
        <f aca="true" t="shared" si="0" ref="E7:AD7">SUM(E5:E6)</f>
        <v>13</v>
      </c>
      <c r="F7" s="15">
        <f t="shared" si="0"/>
        <v>0</v>
      </c>
      <c r="G7" s="15">
        <f t="shared" si="0"/>
        <v>0</v>
      </c>
      <c r="H7" s="15">
        <f t="shared" si="0"/>
        <v>292</v>
      </c>
      <c r="I7" s="15">
        <f t="shared" si="0"/>
        <v>31</v>
      </c>
      <c r="J7" s="15">
        <f t="shared" si="0"/>
        <v>13</v>
      </c>
      <c r="K7" s="15">
        <f t="shared" si="0"/>
        <v>13</v>
      </c>
      <c r="L7" s="15">
        <v>280</v>
      </c>
      <c r="M7" s="15">
        <f t="shared" si="0"/>
        <v>132</v>
      </c>
      <c r="N7" s="15">
        <f t="shared" si="0"/>
        <v>863</v>
      </c>
      <c r="O7" s="15">
        <f t="shared" si="0"/>
        <v>93</v>
      </c>
      <c r="P7" s="15">
        <f t="shared" si="0"/>
        <v>217</v>
      </c>
      <c r="Q7" s="15">
        <f t="shared" si="0"/>
        <v>4</v>
      </c>
      <c r="R7" s="15">
        <f t="shared" si="0"/>
        <v>31</v>
      </c>
      <c r="S7" s="15">
        <f t="shared" si="0"/>
        <v>0</v>
      </c>
      <c r="T7" s="17">
        <f t="shared" si="0"/>
        <v>31</v>
      </c>
      <c r="U7" s="18">
        <f t="shared" si="0"/>
        <v>31</v>
      </c>
      <c r="V7" s="138">
        <f t="shared" si="0"/>
        <v>26</v>
      </c>
      <c r="W7" s="15">
        <f t="shared" si="0"/>
        <v>31</v>
      </c>
      <c r="X7" s="15">
        <f t="shared" si="0"/>
        <v>0</v>
      </c>
      <c r="Y7" s="15">
        <f t="shared" si="0"/>
        <v>54</v>
      </c>
      <c r="Z7" s="15">
        <f t="shared" si="0"/>
        <v>104</v>
      </c>
      <c r="AA7" s="15">
        <f t="shared" si="0"/>
        <v>62</v>
      </c>
      <c r="AB7" s="15">
        <f t="shared" si="0"/>
        <v>14</v>
      </c>
      <c r="AC7" s="128">
        <f t="shared" si="0"/>
        <v>30</v>
      </c>
      <c r="AD7" s="120">
        <f t="shared" si="0"/>
        <v>2365</v>
      </c>
    </row>
    <row r="8" spans="1:30" ht="13.5">
      <c r="A8" s="132">
        <v>3</v>
      </c>
      <c r="B8" s="225" t="s">
        <v>24</v>
      </c>
      <c r="C8" s="198" t="s">
        <v>25</v>
      </c>
      <c r="D8" s="200"/>
      <c r="E8" s="117"/>
      <c r="F8" s="20"/>
      <c r="G8" s="21"/>
      <c r="H8" s="21"/>
      <c r="I8" s="20"/>
      <c r="J8" s="20"/>
      <c r="K8" s="15"/>
      <c r="L8" s="15"/>
      <c r="M8" s="15"/>
      <c r="N8" s="20">
        <v>2</v>
      </c>
      <c r="O8" s="20"/>
      <c r="P8" s="20"/>
      <c r="Q8" s="20"/>
      <c r="R8" s="20"/>
      <c r="S8" s="22"/>
      <c r="T8" s="22"/>
      <c r="U8" s="141"/>
      <c r="V8" s="139"/>
      <c r="W8" s="23"/>
      <c r="X8" s="20"/>
      <c r="Y8" s="20"/>
      <c r="Z8" s="20"/>
      <c r="AA8" s="20"/>
      <c r="AB8" s="20"/>
      <c r="AC8" s="129"/>
      <c r="AD8" s="119">
        <f>SUM(E8:AC8)</f>
        <v>2</v>
      </c>
    </row>
    <row r="9" spans="1:30" ht="13.5">
      <c r="A9" s="132">
        <v>4</v>
      </c>
      <c r="B9" s="226"/>
      <c r="C9" s="198" t="s">
        <v>26</v>
      </c>
      <c r="D9" s="200"/>
      <c r="E9" s="116"/>
      <c r="F9" s="20"/>
      <c r="G9" s="21"/>
      <c r="H9" s="21">
        <v>2</v>
      </c>
      <c r="I9" s="20"/>
      <c r="J9" s="20"/>
      <c r="K9" s="20"/>
      <c r="L9" s="15"/>
      <c r="M9" s="15"/>
      <c r="N9" s="20"/>
      <c r="O9" s="20">
        <v>1</v>
      </c>
      <c r="P9" s="20"/>
      <c r="Q9" s="20"/>
      <c r="R9" s="20"/>
      <c r="S9" s="22"/>
      <c r="T9" s="22"/>
      <c r="U9" s="141"/>
      <c r="V9" s="139"/>
      <c r="W9" s="23"/>
      <c r="X9" s="20"/>
      <c r="Y9" s="20"/>
      <c r="Z9" s="20"/>
      <c r="AA9" s="20"/>
      <c r="AB9" s="20"/>
      <c r="AC9" s="129"/>
      <c r="AD9" s="119">
        <f>SUM(E9:AC9)</f>
        <v>3</v>
      </c>
    </row>
    <row r="10" spans="1:30" ht="13.5">
      <c r="A10" s="132">
        <v>5</v>
      </c>
      <c r="B10" s="226"/>
      <c r="C10" s="198" t="s">
        <v>27</v>
      </c>
      <c r="D10" s="200"/>
      <c r="E10" s="116"/>
      <c r="F10" s="20"/>
      <c r="G10" s="21"/>
      <c r="H10" s="21">
        <v>1</v>
      </c>
      <c r="I10" s="20"/>
      <c r="J10" s="20"/>
      <c r="K10" s="20"/>
      <c r="L10" s="15">
        <v>1</v>
      </c>
      <c r="M10" s="15"/>
      <c r="N10" s="20"/>
      <c r="O10" s="20"/>
      <c r="P10" s="20"/>
      <c r="Q10" s="20"/>
      <c r="R10" s="20"/>
      <c r="S10" s="22"/>
      <c r="T10" s="22"/>
      <c r="U10" s="141"/>
      <c r="V10" s="139"/>
      <c r="W10" s="23"/>
      <c r="X10" s="20"/>
      <c r="Y10" s="20"/>
      <c r="Z10" s="20"/>
      <c r="AA10" s="20">
        <v>1</v>
      </c>
      <c r="AB10" s="20"/>
      <c r="AC10" s="129"/>
      <c r="AD10" s="119">
        <f>SUM(E10:AC10)</f>
        <v>3</v>
      </c>
    </row>
    <row r="11" spans="1:30" ht="13.5">
      <c r="A11" s="132">
        <v>6</v>
      </c>
      <c r="B11" s="226"/>
      <c r="C11" s="198" t="s">
        <v>28</v>
      </c>
      <c r="D11" s="200"/>
      <c r="E11" s="116"/>
      <c r="F11" s="20"/>
      <c r="G11" s="21"/>
      <c r="H11" s="21"/>
      <c r="I11" s="20"/>
      <c r="J11" s="20"/>
      <c r="K11" s="15"/>
      <c r="L11" s="20"/>
      <c r="M11" s="20"/>
      <c r="N11" s="20"/>
      <c r="O11" s="20"/>
      <c r="P11" s="20">
        <v>7</v>
      </c>
      <c r="Q11" s="20"/>
      <c r="R11" s="20"/>
      <c r="S11" s="22"/>
      <c r="T11" s="22"/>
      <c r="U11" s="141"/>
      <c r="V11" s="139"/>
      <c r="W11" s="23"/>
      <c r="X11" s="20"/>
      <c r="Y11" s="20">
        <v>1</v>
      </c>
      <c r="Z11" s="20"/>
      <c r="AA11" s="20"/>
      <c r="AB11" s="20"/>
      <c r="AC11" s="129"/>
      <c r="AD11" s="119">
        <f>SUM(E11:AC11)</f>
        <v>8</v>
      </c>
    </row>
    <row r="12" spans="1:30" ht="13.5">
      <c r="A12" s="132">
        <v>7</v>
      </c>
      <c r="B12" s="226"/>
      <c r="C12" s="198" t="s">
        <v>29</v>
      </c>
      <c r="D12" s="200"/>
      <c r="E12" s="118">
        <f aca="true" t="shared" si="1" ref="E12:AD12">E8+E9</f>
        <v>0</v>
      </c>
      <c r="F12" s="16">
        <f t="shared" si="1"/>
        <v>0</v>
      </c>
      <c r="G12" s="16">
        <f t="shared" si="1"/>
        <v>0</v>
      </c>
      <c r="H12" s="16">
        <f t="shared" si="1"/>
        <v>2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2</v>
      </c>
      <c r="O12" s="16">
        <f t="shared" si="1"/>
        <v>1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>
        <f t="shared" si="1"/>
        <v>0</v>
      </c>
      <c r="T12" s="33">
        <f t="shared" si="1"/>
        <v>0</v>
      </c>
      <c r="U12" s="142">
        <f t="shared" si="1"/>
        <v>0</v>
      </c>
      <c r="V12" s="140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30">
        <f t="shared" si="1"/>
        <v>0</v>
      </c>
      <c r="AD12" s="121">
        <f t="shared" si="1"/>
        <v>5</v>
      </c>
    </row>
    <row r="13" spans="1:30" ht="13.5">
      <c r="A13" s="132">
        <v>8</v>
      </c>
      <c r="B13" s="227"/>
      <c r="C13" s="198" t="s">
        <v>30</v>
      </c>
      <c r="D13" s="200"/>
      <c r="E13" s="118">
        <f aca="true" t="shared" si="2" ref="E13:AD13">E10+E11</f>
        <v>0</v>
      </c>
      <c r="F13" s="16">
        <f t="shared" si="2"/>
        <v>0</v>
      </c>
      <c r="G13" s="16">
        <f t="shared" si="2"/>
        <v>0</v>
      </c>
      <c r="H13" s="16">
        <f t="shared" si="2"/>
        <v>1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1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7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33">
        <f t="shared" si="2"/>
        <v>0</v>
      </c>
      <c r="U13" s="142">
        <f t="shared" si="2"/>
        <v>0</v>
      </c>
      <c r="V13" s="140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1</v>
      </c>
      <c r="Z13" s="16">
        <f t="shared" si="2"/>
        <v>0</v>
      </c>
      <c r="AA13" s="16">
        <f t="shared" si="2"/>
        <v>1</v>
      </c>
      <c r="AB13" s="16">
        <f t="shared" si="2"/>
        <v>0</v>
      </c>
      <c r="AC13" s="130">
        <f t="shared" si="2"/>
        <v>0</v>
      </c>
      <c r="AD13" s="121">
        <f t="shared" si="2"/>
        <v>11</v>
      </c>
    </row>
    <row r="14" spans="1:30" ht="13.5">
      <c r="A14" s="132">
        <v>9</v>
      </c>
      <c r="B14" s="225" t="s">
        <v>31</v>
      </c>
      <c r="C14" s="213" t="s">
        <v>32</v>
      </c>
      <c r="D14" s="154" t="s">
        <v>33</v>
      </c>
      <c r="E14" s="116"/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7"/>
      <c r="U14" s="18"/>
      <c r="V14" s="138"/>
      <c r="W14" s="19"/>
      <c r="X14" s="15"/>
      <c r="Y14" s="15"/>
      <c r="Z14" s="15"/>
      <c r="AA14" s="15"/>
      <c r="AB14" s="15"/>
      <c r="AC14" s="128"/>
      <c r="AD14" s="120">
        <f aca="true" t="shared" si="3" ref="AD14:AD21">SUM(E14:AC14)</f>
        <v>0</v>
      </c>
    </row>
    <row r="15" spans="1:30" ht="13.5">
      <c r="A15" s="133"/>
      <c r="B15" s="226"/>
      <c r="C15" s="228"/>
      <c r="D15" s="155" t="s">
        <v>34</v>
      </c>
      <c r="E15" s="116"/>
      <c r="F15" s="16"/>
      <c r="G15" s="16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7"/>
      <c r="T15" s="17"/>
      <c r="U15" s="18"/>
      <c r="V15" s="138"/>
      <c r="W15" s="19"/>
      <c r="X15" s="15"/>
      <c r="Y15" s="15"/>
      <c r="Z15" s="15"/>
      <c r="AA15" s="15"/>
      <c r="AB15" s="15"/>
      <c r="AC15" s="128"/>
      <c r="AD15" s="120">
        <f t="shared" si="3"/>
        <v>0</v>
      </c>
    </row>
    <row r="16" spans="1:30" ht="13.5">
      <c r="A16" s="132">
        <v>10</v>
      </c>
      <c r="B16" s="226"/>
      <c r="C16" s="229" t="s">
        <v>26</v>
      </c>
      <c r="D16" s="46" t="s">
        <v>33</v>
      </c>
      <c r="E16" s="116">
        <v>1</v>
      </c>
      <c r="F16" s="15"/>
      <c r="G16" s="16"/>
      <c r="H16" s="16">
        <v>40</v>
      </c>
      <c r="I16" s="15">
        <v>11</v>
      </c>
      <c r="J16" s="15">
        <v>2</v>
      </c>
      <c r="K16" s="15">
        <v>8</v>
      </c>
      <c r="L16" s="15">
        <v>37</v>
      </c>
      <c r="M16" s="15">
        <v>2</v>
      </c>
      <c r="N16" s="15">
        <v>80</v>
      </c>
      <c r="O16" s="15">
        <v>12</v>
      </c>
      <c r="P16" s="15"/>
      <c r="Q16" s="15"/>
      <c r="R16" s="15">
        <v>4</v>
      </c>
      <c r="S16" s="17"/>
      <c r="T16" s="17"/>
      <c r="U16" s="18"/>
      <c r="V16" s="138"/>
      <c r="W16" s="19">
        <v>1</v>
      </c>
      <c r="X16" s="15"/>
      <c r="Y16" s="15">
        <v>7</v>
      </c>
      <c r="Z16" s="15">
        <v>13</v>
      </c>
      <c r="AA16" s="15">
        <v>1</v>
      </c>
      <c r="AB16" s="15">
        <v>1</v>
      </c>
      <c r="AC16" s="128">
        <v>1</v>
      </c>
      <c r="AD16" s="120">
        <f t="shared" si="3"/>
        <v>221</v>
      </c>
    </row>
    <row r="17" spans="1:30" ht="13.5">
      <c r="A17" s="132" t="s">
        <v>35</v>
      </c>
      <c r="B17" s="226"/>
      <c r="C17" s="214"/>
      <c r="D17" s="42" t="s">
        <v>34</v>
      </c>
      <c r="E17" s="116">
        <f>1*60+10</f>
        <v>70</v>
      </c>
      <c r="F17" s="15"/>
      <c r="G17" s="16"/>
      <c r="H17" s="16">
        <f>19*60+10</f>
        <v>1150</v>
      </c>
      <c r="I17" s="16">
        <f>3*60+21</f>
        <v>201</v>
      </c>
      <c r="J17" s="15">
        <f>1*60+9</f>
        <v>69</v>
      </c>
      <c r="K17" s="15">
        <f>3*60+14</f>
        <v>194</v>
      </c>
      <c r="L17" s="15">
        <f>35*60</f>
        <v>2100</v>
      </c>
      <c r="M17" s="15">
        <v>38</v>
      </c>
      <c r="N17" s="15">
        <f>79*60</f>
        <v>4740</v>
      </c>
      <c r="O17" s="15">
        <f>6*60+20</f>
        <v>380</v>
      </c>
      <c r="P17" s="15"/>
      <c r="Q17" s="15"/>
      <c r="R17" s="15">
        <v>34</v>
      </c>
      <c r="S17" s="17"/>
      <c r="T17" s="17"/>
      <c r="U17" s="18"/>
      <c r="V17" s="138"/>
      <c r="W17" s="19">
        <f>1*60</f>
        <v>60</v>
      </c>
      <c r="X17" s="15"/>
      <c r="Y17" s="15">
        <v>185</v>
      </c>
      <c r="Z17" s="15">
        <f>5.2*60</f>
        <v>312</v>
      </c>
      <c r="AA17" s="15">
        <v>23</v>
      </c>
      <c r="AB17" s="15">
        <v>14</v>
      </c>
      <c r="AC17" s="128">
        <v>25</v>
      </c>
      <c r="AD17" s="120">
        <f t="shared" si="3"/>
        <v>9595</v>
      </c>
    </row>
    <row r="18" spans="1:30" ht="13.5">
      <c r="A18" s="132">
        <v>11</v>
      </c>
      <c r="B18" s="226"/>
      <c r="C18" s="213" t="s">
        <v>27</v>
      </c>
      <c r="D18" s="42" t="s">
        <v>33</v>
      </c>
      <c r="E18" s="116"/>
      <c r="F18" s="15"/>
      <c r="G18" s="16"/>
      <c r="H18" s="16">
        <v>11</v>
      </c>
      <c r="I18" s="15"/>
      <c r="J18" s="15">
        <v>1</v>
      </c>
      <c r="K18" s="15"/>
      <c r="L18" s="15">
        <v>39</v>
      </c>
      <c r="M18" s="15">
        <v>7</v>
      </c>
      <c r="N18" s="15">
        <v>84</v>
      </c>
      <c r="O18" s="15"/>
      <c r="P18" s="15"/>
      <c r="Q18" s="15">
        <v>1</v>
      </c>
      <c r="R18" s="15"/>
      <c r="S18" s="17"/>
      <c r="T18" s="17"/>
      <c r="U18" s="18"/>
      <c r="V18" s="138"/>
      <c r="W18" s="19"/>
      <c r="X18" s="15"/>
      <c r="Y18" s="15"/>
      <c r="Z18" s="15">
        <v>4</v>
      </c>
      <c r="AA18" s="15"/>
      <c r="AB18" s="15"/>
      <c r="AC18" s="128"/>
      <c r="AD18" s="120">
        <f t="shared" si="3"/>
        <v>147</v>
      </c>
    </row>
    <row r="19" spans="1:30" ht="13.5">
      <c r="A19" s="133"/>
      <c r="B19" s="226"/>
      <c r="C19" s="214"/>
      <c r="D19" s="42" t="s">
        <v>34</v>
      </c>
      <c r="E19" s="116"/>
      <c r="F19" s="16"/>
      <c r="G19" s="16"/>
      <c r="H19" s="16">
        <f>8*60+19</f>
        <v>499</v>
      </c>
      <c r="I19" s="16"/>
      <c r="J19" s="15">
        <f>1*60+58</f>
        <v>118</v>
      </c>
      <c r="K19" s="15"/>
      <c r="L19" s="15">
        <f>48*60</f>
        <v>2880</v>
      </c>
      <c r="M19" s="15">
        <v>1939</v>
      </c>
      <c r="N19" s="15">
        <f>143*60</f>
        <v>8580</v>
      </c>
      <c r="O19" s="15"/>
      <c r="P19" s="15"/>
      <c r="Q19" s="15">
        <v>1440</v>
      </c>
      <c r="R19" s="15"/>
      <c r="S19" s="17"/>
      <c r="T19" s="17"/>
      <c r="U19" s="18"/>
      <c r="V19" s="138"/>
      <c r="W19" s="19"/>
      <c r="X19" s="15"/>
      <c r="Y19" s="15"/>
      <c r="Z19" s="15">
        <f>5.6*60</f>
        <v>336</v>
      </c>
      <c r="AA19" s="15"/>
      <c r="AB19" s="15"/>
      <c r="AC19" s="128"/>
      <c r="AD19" s="120">
        <f t="shared" si="3"/>
        <v>15792</v>
      </c>
    </row>
    <row r="20" spans="1:30" ht="13.5">
      <c r="A20" s="132">
        <v>12</v>
      </c>
      <c r="B20" s="226"/>
      <c r="C20" s="213" t="s">
        <v>28</v>
      </c>
      <c r="D20" s="42" t="s">
        <v>33</v>
      </c>
      <c r="E20" s="116">
        <v>1</v>
      </c>
      <c r="F20" s="15"/>
      <c r="G20" s="16"/>
      <c r="H20" s="16">
        <v>46</v>
      </c>
      <c r="I20" s="15"/>
      <c r="J20" s="15">
        <v>7</v>
      </c>
      <c r="K20" s="15">
        <v>1</v>
      </c>
      <c r="L20" s="15">
        <v>20</v>
      </c>
      <c r="M20" s="15">
        <v>24</v>
      </c>
      <c r="N20" s="15">
        <v>46</v>
      </c>
      <c r="O20" s="15">
        <v>5</v>
      </c>
      <c r="P20" s="15">
        <v>15</v>
      </c>
      <c r="Q20" s="15"/>
      <c r="R20" s="15">
        <v>15</v>
      </c>
      <c r="S20" s="17"/>
      <c r="T20" s="17">
        <v>11</v>
      </c>
      <c r="U20" s="18">
        <v>3</v>
      </c>
      <c r="V20" s="138">
        <v>5</v>
      </c>
      <c r="W20" s="19">
        <v>1</v>
      </c>
      <c r="X20" s="15"/>
      <c r="Y20" s="15">
        <v>12</v>
      </c>
      <c r="Z20" s="15"/>
      <c r="AA20" s="15">
        <v>1</v>
      </c>
      <c r="AB20" s="15">
        <v>6</v>
      </c>
      <c r="AC20" s="128">
        <v>1</v>
      </c>
      <c r="AD20" s="120">
        <f t="shared" si="3"/>
        <v>220</v>
      </c>
    </row>
    <row r="21" spans="1:30" ht="13.5">
      <c r="A21" s="133"/>
      <c r="B21" s="226"/>
      <c r="C21" s="214"/>
      <c r="D21" s="42" t="s">
        <v>34</v>
      </c>
      <c r="E21" s="116">
        <v>4</v>
      </c>
      <c r="F21" s="16"/>
      <c r="G21" s="16"/>
      <c r="H21" s="16">
        <f>22*60+21</f>
        <v>1341</v>
      </c>
      <c r="I21" s="16"/>
      <c r="J21" s="15">
        <f>2*60+29</f>
        <v>149</v>
      </c>
      <c r="K21" s="15">
        <v>38</v>
      </c>
      <c r="L21" s="15">
        <f>10*60</f>
        <v>600</v>
      </c>
      <c r="M21" s="15">
        <v>1298</v>
      </c>
      <c r="N21" s="15">
        <f>41.7*60</f>
        <v>2502</v>
      </c>
      <c r="O21" s="15">
        <v>42</v>
      </c>
      <c r="P21" s="15">
        <f>728*60</f>
        <v>43680</v>
      </c>
      <c r="Q21" s="15"/>
      <c r="R21" s="15">
        <v>309</v>
      </c>
      <c r="S21" s="17"/>
      <c r="T21" s="17">
        <v>432</v>
      </c>
      <c r="U21" s="18">
        <f>1*60+17</f>
        <v>77</v>
      </c>
      <c r="V21" s="138">
        <f>3*60+32</f>
        <v>212</v>
      </c>
      <c r="W21" s="19">
        <f>1*60+3</f>
        <v>63</v>
      </c>
      <c r="X21" s="15"/>
      <c r="Y21" s="15">
        <v>280</v>
      </c>
      <c r="Z21" s="15"/>
      <c r="AA21" s="15">
        <f>2*60+56</f>
        <v>176</v>
      </c>
      <c r="AB21" s="15">
        <f>2*60+16</f>
        <v>136</v>
      </c>
      <c r="AC21" s="128">
        <v>120</v>
      </c>
      <c r="AD21" s="120">
        <f t="shared" si="3"/>
        <v>51459</v>
      </c>
    </row>
    <row r="22" spans="1:30" ht="13.5">
      <c r="A22" s="132">
        <v>13</v>
      </c>
      <c r="B22" s="226"/>
      <c r="C22" s="198" t="s">
        <v>36</v>
      </c>
      <c r="D22" s="200"/>
      <c r="E22" s="116">
        <f aca="true" t="shared" si="4" ref="E22:AD22">E14+E16+E18+E20</f>
        <v>2</v>
      </c>
      <c r="F22" s="15">
        <f t="shared" si="4"/>
        <v>0</v>
      </c>
      <c r="G22" s="15">
        <f t="shared" si="4"/>
        <v>0</v>
      </c>
      <c r="H22" s="15">
        <f t="shared" si="4"/>
        <v>97</v>
      </c>
      <c r="I22" s="15">
        <f t="shared" si="4"/>
        <v>11</v>
      </c>
      <c r="J22" s="15">
        <f t="shared" si="4"/>
        <v>10</v>
      </c>
      <c r="K22" s="15">
        <f t="shared" si="4"/>
        <v>9</v>
      </c>
      <c r="L22" s="15">
        <f t="shared" si="4"/>
        <v>96</v>
      </c>
      <c r="M22" s="15">
        <f t="shared" si="4"/>
        <v>33</v>
      </c>
      <c r="N22" s="15">
        <f t="shared" si="4"/>
        <v>210</v>
      </c>
      <c r="O22" s="15">
        <f t="shared" si="4"/>
        <v>17</v>
      </c>
      <c r="P22" s="15">
        <f t="shared" si="4"/>
        <v>15</v>
      </c>
      <c r="Q22" s="15">
        <f t="shared" si="4"/>
        <v>1</v>
      </c>
      <c r="R22" s="15">
        <f>R14+R16+R18+R20</f>
        <v>19</v>
      </c>
      <c r="S22" s="15">
        <f t="shared" si="4"/>
        <v>0</v>
      </c>
      <c r="T22" s="15">
        <f t="shared" si="4"/>
        <v>11</v>
      </c>
      <c r="U22" s="11">
        <f t="shared" si="4"/>
        <v>3</v>
      </c>
      <c r="V22" s="15">
        <f t="shared" si="4"/>
        <v>5</v>
      </c>
      <c r="W22" s="15">
        <f t="shared" si="4"/>
        <v>2</v>
      </c>
      <c r="X22" s="15">
        <f t="shared" si="4"/>
        <v>0</v>
      </c>
      <c r="Y22" s="15">
        <f t="shared" si="4"/>
        <v>19</v>
      </c>
      <c r="Z22" s="15">
        <f t="shared" si="4"/>
        <v>17</v>
      </c>
      <c r="AA22" s="15">
        <f t="shared" si="4"/>
        <v>2</v>
      </c>
      <c r="AB22" s="15">
        <f t="shared" si="4"/>
        <v>7</v>
      </c>
      <c r="AC22" s="128">
        <f t="shared" si="4"/>
        <v>2</v>
      </c>
      <c r="AD22" s="120">
        <f t="shared" si="4"/>
        <v>588</v>
      </c>
    </row>
    <row r="23" spans="1:30" ht="13.5">
      <c r="A23" s="132">
        <v>14</v>
      </c>
      <c r="B23" s="227"/>
      <c r="C23" s="198" t="s">
        <v>37</v>
      </c>
      <c r="D23" s="200"/>
      <c r="E23" s="116">
        <f>E15+E17+E19+E21</f>
        <v>74</v>
      </c>
      <c r="F23" s="15">
        <f>F15+F17+F19+F21</f>
        <v>0</v>
      </c>
      <c r="G23" s="15">
        <f>G15+G17+G19+G21</f>
        <v>0</v>
      </c>
      <c r="H23" s="15">
        <f>H15+H17+H19+H21</f>
        <v>2990</v>
      </c>
      <c r="I23" s="15">
        <f>I15+I17+I19+I21</f>
        <v>201</v>
      </c>
      <c r="J23" s="15">
        <f aca="true" t="shared" si="5" ref="J23:AD23">J15+J17+J19+J21</f>
        <v>336</v>
      </c>
      <c r="K23" s="15">
        <f t="shared" si="5"/>
        <v>232</v>
      </c>
      <c r="L23" s="15">
        <f t="shared" si="5"/>
        <v>5580</v>
      </c>
      <c r="M23" s="15">
        <f t="shared" si="5"/>
        <v>3275</v>
      </c>
      <c r="N23" s="15">
        <f t="shared" si="5"/>
        <v>15822</v>
      </c>
      <c r="O23" s="15">
        <f t="shared" si="5"/>
        <v>422</v>
      </c>
      <c r="P23" s="15">
        <f t="shared" si="5"/>
        <v>43680</v>
      </c>
      <c r="Q23" s="15">
        <f t="shared" si="5"/>
        <v>1440</v>
      </c>
      <c r="R23" s="15">
        <f>R15+R17+R19+R21</f>
        <v>343</v>
      </c>
      <c r="S23" s="15">
        <f t="shared" si="5"/>
        <v>0</v>
      </c>
      <c r="T23" s="15">
        <f t="shared" si="5"/>
        <v>432</v>
      </c>
      <c r="U23" s="15">
        <f t="shared" si="5"/>
        <v>77</v>
      </c>
      <c r="V23" s="15">
        <f t="shared" si="5"/>
        <v>212</v>
      </c>
      <c r="W23" s="15">
        <f t="shared" si="5"/>
        <v>123</v>
      </c>
      <c r="X23" s="15">
        <f t="shared" si="5"/>
        <v>0</v>
      </c>
      <c r="Y23" s="15">
        <f t="shared" si="5"/>
        <v>465</v>
      </c>
      <c r="Z23" s="15">
        <f t="shared" si="5"/>
        <v>648</v>
      </c>
      <c r="AA23" s="15">
        <f t="shared" si="5"/>
        <v>199</v>
      </c>
      <c r="AB23" s="15">
        <f t="shared" si="5"/>
        <v>150</v>
      </c>
      <c r="AC23" s="128">
        <f t="shared" si="5"/>
        <v>145</v>
      </c>
      <c r="AD23" s="120">
        <f t="shared" si="5"/>
        <v>76846</v>
      </c>
    </row>
    <row r="24" spans="1:30" ht="13.5">
      <c r="A24" s="132">
        <v>16</v>
      </c>
      <c r="B24" s="200" t="s">
        <v>39</v>
      </c>
      <c r="C24" s="200"/>
      <c r="D24" s="200"/>
      <c r="E24" s="116">
        <f aca="true" t="shared" si="6" ref="E24:AD24">E7-E12</f>
        <v>13</v>
      </c>
      <c r="F24" s="15">
        <f t="shared" si="6"/>
        <v>0</v>
      </c>
      <c r="G24" s="15">
        <f t="shared" si="6"/>
        <v>0</v>
      </c>
      <c r="H24" s="15">
        <f t="shared" si="6"/>
        <v>290</v>
      </c>
      <c r="I24" s="15">
        <f t="shared" si="6"/>
        <v>31</v>
      </c>
      <c r="J24" s="15">
        <f t="shared" si="6"/>
        <v>13</v>
      </c>
      <c r="K24" s="15">
        <f t="shared" si="6"/>
        <v>13</v>
      </c>
      <c r="L24" s="15">
        <f t="shared" si="6"/>
        <v>280</v>
      </c>
      <c r="M24" s="15">
        <f t="shared" si="6"/>
        <v>132</v>
      </c>
      <c r="N24" s="15">
        <f t="shared" si="6"/>
        <v>861</v>
      </c>
      <c r="O24" s="15">
        <f t="shared" si="6"/>
        <v>92</v>
      </c>
      <c r="P24" s="15">
        <f t="shared" si="6"/>
        <v>217</v>
      </c>
      <c r="Q24" s="15">
        <f t="shared" si="6"/>
        <v>4</v>
      </c>
      <c r="R24" s="15">
        <f>R7-R12</f>
        <v>31</v>
      </c>
      <c r="S24" s="15">
        <f t="shared" si="6"/>
        <v>0</v>
      </c>
      <c r="T24" s="15">
        <f t="shared" si="6"/>
        <v>31</v>
      </c>
      <c r="U24" s="15">
        <f t="shared" si="6"/>
        <v>31</v>
      </c>
      <c r="V24" s="15">
        <f t="shared" si="6"/>
        <v>26</v>
      </c>
      <c r="W24" s="15">
        <f t="shared" si="6"/>
        <v>31</v>
      </c>
      <c r="X24" s="15">
        <f t="shared" si="6"/>
        <v>0</v>
      </c>
      <c r="Y24" s="15">
        <f t="shared" si="6"/>
        <v>54</v>
      </c>
      <c r="Z24" s="15">
        <f t="shared" si="6"/>
        <v>104</v>
      </c>
      <c r="AA24" s="15">
        <f t="shared" si="6"/>
        <v>62</v>
      </c>
      <c r="AB24" s="15">
        <f t="shared" si="6"/>
        <v>14</v>
      </c>
      <c r="AC24" s="128">
        <f t="shared" si="6"/>
        <v>30</v>
      </c>
      <c r="AD24" s="120">
        <f t="shared" si="6"/>
        <v>2360</v>
      </c>
    </row>
    <row r="25" spans="1:30" ht="14.25" thickBot="1">
      <c r="A25" s="134">
        <v>17</v>
      </c>
      <c r="B25" s="216" t="s">
        <v>40</v>
      </c>
      <c r="C25" s="216"/>
      <c r="D25" s="216"/>
      <c r="E25" s="84">
        <f aca="true" t="shared" si="7" ref="E25:AD25">E24-E22-E13</f>
        <v>11</v>
      </c>
      <c r="F25" s="85">
        <f t="shared" si="7"/>
        <v>0</v>
      </c>
      <c r="G25" s="85">
        <f t="shared" si="7"/>
        <v>0</v>
      </c>
      <c r="H25" s="85">
        <f t="shared" si="7"/>
        <v>192</v>
      </c>
      <c r="I25" s="85">
        <f t="shared" si="7"/>
        <v>20</v>
      </c>
      <c r="J25" s="85">
        <f t="shared" si="7"/>
        <v>3</v>
      </c>
      <c r="K25" s="85">
        <f t="shared" si="7"/>
        <v>4</v>
      </c>
      <c r="L25" s="85">
        <f t="shared" si="7"/>
        <v>183</v>
      </c>
      <c r="M25" s="85">
        <f t="shared" si="7"/>
        <v>99</v>
      </c>
      <c r="N25" s="85">
        <f t="shared" si="7"/>
        <v>651</v>
      </c>
      <c r="O25" s="85">
        <f t="shared" si="7"/>
        <v>75</v>
      </c>
      <c r="P25" s="85">
        <f t="shared" si="7"/>
        <v>195</v>
      </c>
      <c r="Q25" s="85">
        <f t="shared" si="7"/>
        <v>3</v>
      </c>
      <c r="R25" s="85">
        <f t="shared" si="7"/>
        <v>12</v>
      </c>
      <c r="S25" s="85">
        <f t="shared" si="7"/>
        <v>0</v>
      </c>
      <c r="T25" s="85">
        <f t="shared" si="7"/>
        <v>20</v>
      </c>
      <c r="U25" s="85">
        <f t="shared" si="7"/>
        <v>28</v>
      </c>
      <c r="V25" s="85">
        <f t="shared" si="7"/>
        <v>21</v>
      </c>
      <c r="W25" s="85">
        <f t="shared" si="7"/>
        <v>29</v>
      </c>
      <c r="X25" s="85">
        <f t="shared" si="7"/>
        <v>0</v>
      </c>
      <c r="Y25" s="85">
        <f t="shared" si="7"/>
        <v>34</v>
      </c>
      <c r="Z25" s="85">
        <f t="shared" si="7"/>
        <v>87</v>
      </c>
      <c r="AA25" s="85">
        <f t="shared" si="7"/>
        <v>59</v>
      </c>
      <c r="AB25" s="85">
        <f t="shared" si="7"/>
        <v>7</v>
      </c>
      <c r="AC25" s="86">
        <f t="shared" si="7"/>
        <v>28</v>
      </c>
      <c r="AD25" s="122">
        <f t="shared" si="7"/>
        <v>1761</v>
      </c>
    </row>
    <row r="26" spans="1:30" ht="14.25" thickBot="1">
      <c r="A26" s="135">
        <v>18</v>
      </c>
      <c r="B26" s="218" t="s">
        <v>41</v>
      </c>
      <c r="C26" s="218"/>
      <c r="D26" s="218"/>
      <c r="E26" s="93">
        <f aca="true" t="shared" si="8" ref="E26:AD26">IF(E24=0,0,(E25+E16)/E24)</f>
        <v>0.9230769230769231</v>
      </c>
      <c r="F26" s="94">
        <f t="shared" si="8"/>
        <v>0</v>
      </c>
      <c r="G26" s="94">
        <f t="shared" si="8"/>
        <v>0</v>
      </c>
      <c r="H26" s="94">
        <f t="shared" si="8"/>
        <v>0.8</v>
      </c>
      <c r="I26" s="94">
        <f t="shared" si="8"/>
        <v>1</v>
      </c>
      <c r="J26" s="94">
        <f t="shared" si="8"/>
        <v>0.38461538461538464</v>
      </c>
      <c r="K26" s="94">
        <f t="shared" si="8"/>
        <v>0.9230769230769231</v>
      </c>
      <c r="L26" s="94">
        <f t="shared" si="8"/>
        <v>0.7857142857142857</v>
      </c>
      <c r="M26" s="94">
        <f t="shared" si="8"/>
        <v>0.7651515151515151</v>
      </c>
      <c r="N26" s="94">
        <f t="shared" si="8"/>
        <v>0.8490127758420442</v>
      </c>
      <c r="O26" s="94">
        <f t="shared" si="8"/>
        <v>0.9456521739130435</v>
      </c>
      <c r="P26" s="94">
        <f t="shared" si="8"/>
        <v>0.8986175115207373</v>
      </c>
      <c r="Q26" s="94">
        <f t="shared" si="8"/>
        <v>0.75</v>
      </c>
      <c r="R26" s="94">
        <f t="shared" si="8"/>
        <v>0.5161290322580645</v>
      </c>
      <c r="S26" s="94">
        <f t="shared" si="8"/>
        <v>0</v>
      </c>
      <c r="T26" s="94">
        <f t="shared" si="8"/>
        <v>0.6451612903225806</v>
      </c>
      <c r="U26" s="94">
        <f t="shared" si="8"/>
        <v>0.9032258064516129</v>
      </c>
      <c r="V26" s="94">
        <f t="shared" si="8"/>
        <v>0.8076923076923077</v>
      </c>
      <c r="W26" s="94">
        <f t="shared" si="8"/>
        <v>0.967741935483871</v>
      </c>
      <c r="X26" s="94">
        <f t="shared" si="8"/>
        <v>0</v>
      </c>
      <c r="Y26" s="94">
        <f t="shared" si="8"/>
        <v>0.7592592592592593</v>
      </c>
      <c r="Z26" s="94">
        <f t="shared" si="8"/>
        <v>0.9615384615384616</v>
      </c>
      <c r="AA26" s="94">
        <f t="shared" si="8"/>
        <v>0.967741935483871</v>
      </c>
      <c r="AB26" s="94">
        <f t="shared" si="8"/>
        <v>0.5714285714285714</v>
      </c>
      <c r="AC26" s="95">
        <f t="shared" si="8"/>
        <v>0.9666666666666667</v>
      </c>
      <c r="AD26" s="115">
        <f t="shared" si="8"/>
        <v>0.8398305084745763</v>
      </c>
    </row>
    <row r="27" spans="1:30" ht="14.25" thickBot="1">
      <c r="A27" s="136">
        <v>19</v>
      </c>
      <c r="B27" s="220" t="s">
        <v>42</v>
      </c>
      <c r="C27" s="220"/>
      <c r="D27" s="220"/>
      <c r="E27" s="88">
        <f aca="true" t="shared" si="9" ref="E27:AD27">+E23/E22</f>
        <v>37</v>
      </c>
      <c r="F27" s="89" t="e">
        <f t="shared" si="9"/>
        <v>#DIV/0!</v>
      </c>
      <c r="G27" s="89" t="e">
        <f t="shared" si="9"/>
        <v>#DIV/0!</v>
      </c>
      <c r="H27" s="89">
        <f t="shared" si="9"/>
        <v>30.824742268041238</v>
      </c>
      <c r="I27" s="89">
        <f t="shared" si="9"/>
        <v>18.272727272727273</v>
      </c>
      <c r="J27" s="89">
        <f t="shared" si="9"/>
        <v>33.6</v>
      </c>
      <c r="K27" s="89">
        <f t="shared" si="9"/>
        <v>25.77777777777778</v>
      </c>
      <c r="L27" s="89">
        <f t="shared" si="9"/>
        <v>58.125</v>
      </c>
      <c r="M27" s="89">
        <f t="shared" si="9"/>
        <v>99.24242424242425</v>
      </c>
      <c r="N27" s="89">
        <f t="shared" si="9"/>
        <v>75.34285714285714</v>
      </c>
      <c r="O27" s="89">
        <f t="shared" si="9"/>
        <v>24.823529411764707</v>
      </c>
      <c r="P27" s="89">
        <f t="shared" si="9"/>
        <v>2912</v>
      </c>
      <c r="Q27" s="89">
        <f t="shared" si="9"/>
        <v>1440</v>
      </c>
      <c r="R27" s="89">
        <f t="shared" si="9"/>
        <v>18.05263157894737</v>
      </c>
      <c r="S27" s="89" t="e">
        <f t="shared" si="9"/>
        <v>#DIV/0!</v>
      </c>
      <c r="T27" s="89">
        <f t="shared" si="9"/>
        <v>39.27272727272727</v>
      </c>
      <c r="U27" s="89">
        <f t="shared" si="9"/>
        <v>25.666666666666668</v>
      </c>
      <c r="V27" s="89">
        <f t="shared" si="9"/>
        <v>42.4</v>
      </c>
      <c r="W27" s="89">
        <f t="shared" si="9"/>
        <v>61.5</v>
      </c>
      <c r="X27" s="89" t="e">
        <f t="shared" si="9"/>
        <v>#DIV/0!</v>
      </c>
      <c r="Y27" s="89">
        <f t="shared" si="9"/>
        <v>24.473684210526315</v>
      </c>
      <c r="Z27" s="89">
        <f t="shared" si="9"/>
        <v>38.11764705882353</v>
      </c>
      <c r="AA27" s="89">
        <f t="shared" si="9"/>
        <v>99.5</v>
      </c>
      <c r="AB27" s="89">
        <f t="shared" si="9"/>
        <v>21.428571428571427</v>
      </c>
      <c r="AC27" s="90">
        <f t="shared" si="9"/>
        <v>72.5</v>
      </c>
      <c r="AD27" s="103">
        <f t="shared" si="9"/>
        <v>130.6904761904762</v>
      </c>
    </row>
  </sheetData>
  <mergeCells count="25">
    <mergeCell ref="C13:D13"/>
    <mergeCell ref="C9:D9"/>
    <mergeCell ref="C10:D10"/>
    <mergeCell ref="C11:D11"/>
    <mergeCell ref="C12:D12"/>
    <mergeCell ref="B25:D25"/>
    <mergeCell ref="A1:AD1"/>
    <mergeCell ref="A2:AD2"/>
    <mergeCell ref="A3:AD3"/>
    <mergeCell ref="B4:D4"/>
    <mergeCell ref="B5:D5"/>
    <mergeCell ref="B6:D6"/>
    <mergeCell ref="B7:D7"/>
    <mergeCell ref="B8:B13"/>
    <mergeCell ref="C8:D8"/>
    <mergeCell ref="B26:D26"/>
    <mergeCell ref="B27:D27"/>
    <mergeCell ref="B14:B23"/>
    <mergeCell ref="C22:D22"/>
    <mergeCell ref="C23:D23"/>
    <mergeCell ref="B24:D24"/>
    <mergeCell ref="C14:C15"/>
    <mergeCell ref="C16:C17"/>
    <mergeCell ref="C20:C21"/>
    <mergeCell ref="C18:C19"/>
  </mergeCells>
  <printOptions/>
  <pageMargins left="0" right="0" top="0.984251968503937" bottom="0.984251968503937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A2" sqref="A2:AD2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5" width="5.28125" style="0" customWidth="1"/>
    <col min="6" max="6" width="0.13671875" style="0" customWidth="1"/>
    <col min="7" max="7" width="0.13671875" style="0" hidden="1" customWidth="1"/>
    <col min="8" max="8" width="6.00390625" style="0" bestFit="1" customWidth="1"/>
    <col min="9" max="9" width="6.28125" style="0" bestFit="1" customWidth="1"/>
    <col min="10" max="14" width="6.00390625" style="0" bestFit="1" customWidth="1"/>
    <col min="15" max="15" width="6.28125" style="0" bestFit="1" customWidth="1"/>
    <col min="16" max="16" width="7.00390625" style="0" bestFit="1" customWidth="1"/>
    <col min="17" max="17" width="5.7109375" style="0" customWidth="1"/>
    <col min="18" max="18" width="6.00390625" style="0" bestFit="1" customWidth="1"/>
    <col min="19" max="19" width="5.28125" style="0" customWidth="1"/>
    <col min="20" max="22" width="5.28125" style="0" bestFit="1" customWidth="1"/>
    <col min="23" max="23" width="6.421875" style="0" customWidth="1"/>
    <col min="24" max="24" width="6.00390625" style="0" hidden="1" customWidth="1"/>
    <col min="25" max="25" width="6.00390625" style="0" bestFit="1" customWidth="1"/>
    <col min="26" max="26" width="5.28125" style="0" bestFit="1" customWidth="1"/>
    <col min="27" max="27" width="6.00390625" style="0" bestFit="1" customWidth="1"/>
    <col min="28" max="28" width="8.8515625" style="0" bestFit="1" customWidth="1"/>
    <col min="29" max="29" width="5.28125" style="0" bestFit="1" customWidth="1"/>
    <col min="30" max="30" width="7.00390625" style="0" bestFit="1" customWidth="1"/>
    <col min="31" max="80" width="6.421875" style="0" customWidth="1"/>
  </cols>
  <sheetData>
    <row r="1" spans="1:30" ht="17.2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 thickBot="1">
      <c r="A3" s="202" t="s">
        <v>60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ht="102" thickBot="1">
      <c r="A4" s="147" t="s">
        <v>0</v>
      </c>
      <c r="B4" s="243" t="s">
        <v>1</v>
      </c>
      <c r="C4" s="224"/>
      <c r="D4" s="231"/>
      <c r="E4" s="159" t="s">
        <v>20</v>
      </c>
      <c r="F4" s="108" t="s">
        <v>48</v>
      </c>
      <c r="G4" s="108" t="s">
        <v>3</v>
      </c>
      <c r="H4" s="108" t="s">
        <v>49</v>
      </c>
      <c r="I4" s="108" t="s">
        <v>2</v>
      </c>
      <c r="J4" s="108" t="s">
        <v>19</v>
      </c>
      <c r="K4" s="109" t="s">
        <v>50</v>
      </c>
      <c r="L4" s="108" t="s">
        <v>15</v>
      </c>
      <c r="M4" s="108" t="s">
        <v>4</v>
      </c>
      <c r="N4" s="108" t="s">
        <v>5</v>
      </c>
      <c r="O4" s="108" t="s">
        <v>7</v>
      </c>
      <c r="P4" s="108" t="s">
        <v>6</v>
      </c>
      <c r="Q4" s="110" t="s">
        <v>8</v>
      </c>
      <c r="R4" s="110" t="s">
        <v>9</v>
      </c>
      <c r="S4" s="110" t="s">
        <v>54</v>
      </c>
      <c r="T4" s="108" t="s">
        <v>10</v>
      </c>
      <c r="U4" s="108" t="s">
        <v>17</v>
      </c>
      <c r="V4" s="110" t="s">
        <v>11</v>
      </c>
      <c r="W4" s="110" t="s">
        <v>12</v>
      </c>
      <c r="X4" s="110" t="s">
        <v>13</v>
      </c>
      <c r="Y4" s="110" t="s">
        <v>14</v>
      </c>
      <c r="Z4" s="110" t="s">
        <v>46</v>
      </c>
      <c r="AA4" s="110" t="s">
        <v>18</v>
      </c>
      <c r="AB4" s="110" t="s">
        <v>16</v>
      </c>
      <c r="AC4" s="110" t="s">
        <v>47</v>
      </c>
      <c r="AD4" s="97" t="s">
        <v>21</v>
      </c>
    </row>
    <row r="5" spans="1:30" ht="13.5">
      <c r="A5" s="143">
        <v>1</v>
      </c>
      <c r="B5" s="241" t="s">
        <v>22</v>
      </c>
      <c r="C5" s="222"/>
      <c r="D5" s="242"/>
      <c r="E5" s="137">
        <v>12</v>
      </c>
      <c r="F5" s="11"/>
      <c r="G5" s="107"/>
      <c r="H5" s="107">
        <v>268</v>
      </c>
      <c r="I5" s="11">
        <v>30</v>
      </c>
      <c r="J5" s="11">
        <v>13</v>
      </c>
      <c r="K5" s="11">
        <v>13</v>
      </c>
      <c r="L5" s="11">
        <v>272</v>
      </c>
      <c r="M5" s="11">
        <v>120</v>
      </c>
      <c r="N5" s="11">
        <v>908</v>
      </c>
      <c r="O5" s="11">
        <v>76</v>
      </c>
      <c r="P5" s="11">
        <v>210</v>
      </c>
      <c r="Q5" s="11">
        <v>5</v>
      </c>
      <c r="R5" s="11">
        <v>30</v>
      </c>
      <c r="S5" s="12">
        <v>8</v>
      </c>
      <c r="T5" s="160">
        <v>30</v>
      </c>
      <c r="U5" s="10">
        <v>30</v>
      </c>
      <c r="V5" s="11">
        <v>26</v>
      </c>
      <c r="W5" s="10">
        <v>30</v>
      </c>
      <c r="X5" s="11"/>
      <c r="Y5" s="11">
        <v>50</v>
      </c>
      <c r="Z5" s="11">
        <v>107</v>
      </c>
      <c r="AA5" s="11">
        <v>30</v>
      </c>
      <c r="AB5" s="11">
        <v>12</v>
      </c>
      <c r="AC5" s="12">
        <v>30</v>
      </c>
      <c r="AD5" s="119">
        <f>SUM(E5:AC5)</f>
        <v>2310</v>
      </c>
    </row>
    <row r="6" spans="1:30" ht="13.5">
      <c r="A6" s="145">
        <v>2</v>
      </c>
      <c r="B6" s="240" t="s">
        <v>23</v>
      </c>
      <c r="C6" s="200"/>
      <c r="D6" s="239"/>
      <c r="E6" s="138"/>
      <c r="F6" s="15"/>
      <c r="G6" s="16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  <c r="T6" s="161"/>
      <c r="U6" s="19"/>
      <c r="V6" s="15"/>
      <c r="W6" s="19"/>
      <c r="X6" s="15"/>
      <c r="Y6" s="15"/>
      <c r="Z6" s="15"/>
      <c r="AA6" s="15"/>
      <c r="AB6" s="15"/>
      <c r="AC6" s="17"/>
      <c r="AD6" s="119">
        <f>SUM(E6:AC6)</f>
        <v>0</v>
      </c>
    </row>
    <row r="7" spans="1:30" ht="13.5">
      <c r="A7" s="145">
        <v>15</v>
      </c>
      <c r="B7" s="240" t="s">
        <v>38</v>
      </c>
      <c r="C7" s="200"/>
      <c r="D7" s="239"/>
      <c r="E7" s="138">
        <f aca="true" t="shared" si="0" ref="E7:AD7">SUM(E5:E6)</f>
        <v>12</v>
      </c>
      <c r="F7" s="15">
        <f t="shared" si="0"/>
        <v>0</v>
      </c>
      <c r="G7" s="15">
        <f t="shared" si="0"/>
        <v>0</v>
      </c>
      <c r="H7" s="15">
        <f t="shared" si="0"/>
        <v>268</v>
      </c>
      <c r="I7" s="15">
        <f t="shared" si="0"/>
        <v>30</v>
      </c>
      <c r="J7" s="15">
        <f t="shared" si="0"/>
        <v>13</v>
      </c>
      <c r="K7" s="15">
        <f t="shared" si="0"/>
        <v>13</v>
      </c>
      <c r="L7" s="15">
        <f t="shared" si="0"/>
        <v>272</v>
      </c>
      <c r="M7" s="15">
        <f t="shared" si="0"/>
        <v>120</v>
      </c>
      <c r="N7" s="15">
        <f t="shared" si="0"/>
        <v>908</v>
      </c>
      <c r="O7" s="15">
        <f t="shared" si="0"/>
        <v>76</v>
      </c>
      <c r="P7" s="15">
        <f t="shared" si="0"/>
        <v>210</v>
      </c>
      <c r="Q7" s="15">
        <f t="shared" si="0"/>
        <v>5</v>
      </c>
      <c r="R7" s="15">
        <f t="shared" si="0"/>
        <v>30</v>
      </c>
      <c r="S7" s="15">
        <f t="shared" si="0"/>
        <v>8</v>
      </c>
      <c r="T7" s="161">
        <f t="shared" si="0"/>
        <v>30</v>
      </c>
      <c r="U7" s="138">
        <f t="shared" si="0"/>
        <v>30</v>
      </c>
      <c r="V7" s="15">
        <f t="shared" si="0"/>
        <v>26</v>
      </c>
      <c r="W7" s="15">
        <f t="shared" si="0"/>
        <v>30</v>
      </c>
      <c r="X7" s="15">
        <f t="shared" si="0"/>
        <v>0</v>
      </c>
      <c r="Y7" s="15">
        <f t="shared" si="0"/>
        <v>50</v>
      </c>
      <c r="Z7" s="15">
        <f t="shared" si="0"/>
        <v>107</v>
      </c>
      <c r="AA7" s="15">
        <f t="shared" si="0"/>
        <v>30</v>
      </c>
      <c r="AB7" s="15">
        <f t="shared" si="0"/>
        <v>12</v>
      </c>
      <c r="AC7" s="17">
        <f t="shared" si="0"/>
        <v>30</v>
      </c>
      <c r="AD7" s="120">
        <f t="shared" si="0"/>
        <v>2310</v>
      </c>
    </row>
    <row r="8" spans="1:30" ht="13.5">
      <c r="A8" s="145">
        <v>3</v>
      </c>
      <c r="B8" s="236" t="s">
        <v>24</v>
      </c>
      <c r="C8" s="198" t="s">
        <v>25</v>
      </c>
      <c r="D8" s="239"/>
      <c r="E8" s="139"/>
      <c r="F8" s="20"/>
      <c r="G8" s="21"/>
      <c r="H8" s="21"/>
      <c r="I8" s="20"/>
      <c r="J8" s="20"/>
      <c r="K8" s="15"/>
      <c r="L8" s="15"/>
      <c r="M8" s="15"/>
      <c r="N8" s="20"/>
      <c r="O8" s="20"/>
      <c r="P8" s="20"/>
      <c r="Q8" s="20"/>
      <c r="R8" s="20"/>
      <c r="S8" s="22"/>
      <c r="T8" s="162"/>
      <c r="U8" s="23"/>
      <c r="V8" s="20"/>
      <c r="W8" s="23"/>
      <c r="X8" s="20"/>
      <c r="Y8" s="20"/>
      <c r="Z8" s="20"/>
      <c r="AA8" s="20"/>
      <c r="AB8" s="20"/>
      <c r="AC8" s="22"/>
      <c r="AD8" s="119">
        <f>SUM(E8:AC8)</f>
        <v>0</v>
      </c>
    </row>
    <row r="9" spans="1:30" ht="13.5">
      <c r="A9" s="145">
        <v>4</v>
      </c>
      <c r="B9" s="237"/>
      <c r="C9" s="198" t="s">
        <v>26</v>
      </c>
      <c r="D9" s="239"/>
      <c r="E9" s="138"/>
      <c r="F9" s="20"/>
      <c r="G9" s="21"/>
      <c r="H9" s="21"/>
      <c r="I9" s="20"/>
      <c r="J9" s="20"/>
      <c r="K9" s="20"/>
      <c r="L9" s="15">
        <v>2</v>
      </c>
      <c r="M9" s="15"/>
      <c r="N9" s="20"/>
      <c r="O9" s="20">
        <v>1</v>
      </c>
      <c r="P9" s="20"/>
      <c r="Q9" s="20"/>
      <c r="R9" s="20">
        <v>1</v>
      </c>
      <c r="S9" s="22"/>
      <c r="T9" s="162"/>
      <c r="U9" s="23"/>
      <c r="V9" s="20"/>
      <c r="W9" s="23"/>
      <c r="X9" s="20"/>
      <c r="Y9" s="20"/>
      <c r="Z9" s="20"/>
      <c r="AA9" s="20"/>
      <c r="AB9" s="20"/>
      <c r="AC9" s="22"/>
      <c r="AD9" s="119">
        <f>SUM(E9:AC9)</f>
        <v>4</v>
      </c>
    </row>
    <row r="10" spans="1:30" ht="13.5">
      <c r="A10" s="145">
        <v>5</v>
      </c>
      <c r="B10" s="237"/>
      <c r="C10" s="198" t="s">
        <v>27</v>
      </c>
      <c r="D10" s="239"/>
      <c r="E10" s="138"/>
      <c r="F10" s="20"/>
      <c r="G10" s="21"/>
      <c r="H10" s="21">
        <v>2</v>
      </c>
      <c r="I10" s="20"/>
      <c r="J10" s="20"/>
      <c r="K10" s="20"/>
      <c r="L10" s="15"/>
      <c r="M10" s="15"/>
      <c r="N10" s="20">
        <v>1</v>
      </c>
      <c r="O10" s="20"/>
      <c r="P10" s="20"/>
      <c r="Q10" s="20"/>
      <c r="R10" s="20"/>
      <c r="S10" s="22"/>
      <c r="T10" s="162"/>
      <c r="U10" s="23"/>
      <c r="V10" s="20"/>
      <c r="W10" s="23"/>
      <c r="X10" s="20"/>
      <c r="Y10" s="20"/>
      <c r="Z10" s="20"/>
      <c r="AA10" s="20"/>
      <c r="AB10" s="20"/>
      <c r="AC10" s="22"/>
      <c r="AD10" s="119">
        <f>SUM(E10:AC10)</f>
        <v>3</v>
      </c>
    </row>
    <row r="11" spans="1:30" ht="13.5">
      <c r="A11" s="145">
        <v>6</v>
      </c>
      <c r="B11" s="237"/>
      <c r="C11" s="198" t="s">
        <v>28</v>
      </c>
      <c r="D11" s="239"/>
      <c r="E11" s="138"/>
      <c r="F11" s="20"/>
      <c r="G11" s="21"/>
      <c r="H11" s="21"/>
      <c r="I11" s="20"/>
      <c r="J11" s="20"/>
      <c r="K11" s="15"/>
      <c r="L11" s="20"/>
      <c r="M11" s="20"/>
      <c r="N11" s="20"/>
      <c r="O11" s="20"/>
      <c r="P11" s="20"/>
      <c r="Q11" s="20"/>
      <c r="R11" s="20">
        <v>3</v>
      </c>
      <c r="S11" s="22"/>
      <c r="T11" s="162"/>
      <c r="U11" s="23"/>
      <c r="V11" s="20"/>
      <c r="W11" s="23"/>
      <c r="X11" s="20"/>
      <c r="Y11" s="20">
        <v>1</v>
      </c>
      <c r="Z11" s="20"/>
      <c r="AA11" s="20"/>
      <c r="AB11" s="20"/>
      <c r="AC11" s="22"/>
      <c r="AD11" s="119">
        <f>SUM(E11:AC11)</f>
        <v>4</v>
      </c>
    </row>
    <row r="12" spans="1:30" ht="13.5">
      <c r="A12" s="145">
        <v>7</v>
      </c>
      <c r="B12" s="237"/>
      <c r="C12" s="198" t="s">
        <v>29</v>
      </c>
      <c r="D12" s="239"/>
      <c r="E12" s="140">
        <f aca="true" t="shared" si="1" ref="E12:AD12">E8+E9</f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2</v>
      </c>
      <c r="M12" s="16">
        <f t="shared" si="1"/>
        <v>0</v>
      </c>
      <c r="N12" s="16">
        <f t="shared" si="1"/>
        <v>0</v>
      </c>
      <c r="O12" s="16">
        <f t="shared" si="1"/>
        <v>1</v>
      </c>
      <c r="P12" s="16">
        <f t="shared" si="1"/>
        <v>0</v>
      </c>
      <c r="Q12" s="16">
        <f t="shared" si="1"/>
        <v>0</v>
      </c>
      <c r="R12" s="16">
        <f t="shared" si="1"/>
        <v>1</v>
      </c>
      <c r="S12" s="16">
        <f t="shared" si="1"/>
        <v>0</v>
      </c>
      <c r="T12" s="163">
        <f t="shared" si="1"/>
        <v>0</v>
      </c>
      <c r="U12" s="140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33">
        <f t="shared" si="1"/>
        <v>0</v>
      </c>
      <c r="AD12" s="121">
        <f t="shared" si="1"/>
        <v>4</v>
      </c>
    </row>
    <row r="13" spans="1:30" ht="13.5">
      <c r="A13" s="145">
        <v>8</v>
      </c>
      <c r="B13" s="238"/>
      <c r="C13" s="198" t="s">
        <v>30</v>
      </c>
      <c r="D13" s="239"/>
      <c r="E13" s="140">
        <f aca="true" t="shared" si="2" ref="E13:AD13">E10+E11</f>
        <v>0</v>
      </c>
      <c r="F13" s="16">
        <f t="shared" si="2"/>
        <v>0</v>
      </c>
      <c r="G13" s="16">
        <f t="shared" si="2"/>
        <v>0</v>
      </c>
      <c r="H13" s="16">
        <f t="shared" si="2"/>
        <v>2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1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3</v>
      </c>
      <c r="S13" s="16">
        <f t="shared" si="2"/>
        <v>0</v>
      </c>
      <c r="T13" s="163">
        <f t="shared" si="2"/>
        <v>0</v>
      </c>
      <c r="U13" s="140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1</v>
      </c>
      <c r="Z13" s="16">
        <f t="shared" si="2"/>
        <v>0</v>
      </c>
      <c r="AA13" s="16">
        <f t="shared" si="2"/>
        <v>0</v>
      </c>
      <c r="AB13" s="16">
        <f t="shared" si="2"/>
        <v>0</v>
      </c>
      <c r="AC13" s="33">
        <f t="shared" si="2"/>
        <v>0</v>
      </c>
      <c r="AD13" s="121">
        <f t="shared" si="2"/>
        <v>7</v>
      </c>
    </row>
    <row r="14" spans="1:30" ht="13.5">
      <c r="A14" s="145">
        <v>9</v>
      </c>
      <c r="B14" s="236" t="s">
        <v>31</v>
      </c>
      <c r="C14" s="24" t="s">
        <v>32</v>
      </c>
      <c r="D14" s="154" t="s">
        <v>33</v>
      </c>
      <c r="E14" s="138"/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61"/>
      <c r="U14" s="19"/>
      <c r="V14" s="15"/>
      <c r="W14" s="19"/>
      <c r="X14" s="15"/>
      <c r="Y14" s="15"/>
      <c r="Z14" s="15"/>
      <c r="AA14" s="15"/>
      <c r="AB14" s="15"/>
      <c r="AC14" s="17"/>
      <c r="AD14" s="120">
        <f aca="true" t="shared" si="3" ref="AD14:AD21">SUM(E14:AC14)</f>
        <v>0</v>
      </c>
    </row>
    <row r="15" spans="1:30" ht="13.5">
      <c r="A15" s="144"/>
      <c r="B15" s="237"/>
      <c r="C15" s="27"/>
      <c r="D15" s="154" t="s">
        <v>34</v>
      </c>
      <c r="E15" s="138"/>
      <c r="F15" s="16"/>
      <c r="G15" s="16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7"/>
      <c r="T15" s="161"/>
      <c r="U15" s="19"/>
      <c r="V15" s="15"/>
      <c r="W15" s="19"/>
      <c r="X15" s="15"/>
      <c r="Y15" s="15"/>
      <c r="Z15" s="15"/>
      <c r="AA15" s="15"/>
      <c r="AB15" s="15"/>
      <c r="AC15" s="17"/>
      <c r="AD15" s="120">
        <f t="shared" si="3"/>
        <v>0</v>
      </c>
    </row>
    <row r="16" spans="1:30" ht="13.5">
      <c r="A16" s="145">
        <v>10</v>
      </c>
      <c r="B16" s="237"/>
      <c r="C16" s="24" t="s">
        <v>26</v>
      </c>
      <c r="D16" s="154" t="s">
        <v>33</v>
      </c>
      <c r="E16" s="138">
        <v>1</v>
      </c>
      <c r="F16" s="15"/>
      <c r="G16" s="16"/>
      <c r="H16" s="16">
        <v>14</v>
      </c>
      <c r="I16" s="15">
        <v>7</v>
      </c>
      <c r="J16" s="15">
        <v>1</v>
      </c>
      <c r="K16" s="15">
        <v>1</v>
      </c>
      <c r="L16" s="15">
        <v>21</v>
      </c>
      <c r="M16" s="15">
        <v>2</v>
      </c>
      <c r="N16" s="15">
        <v>40</v>
      </c>
      <c r="O16" s="15">
        <v>5</v>
      </c>
      <c r="P16" s="15"/>
      <c r="Q16" s="15"/>
      <c r="R16" s="15">
        <v>1</v>
      </c>
      <c r="S16" s="17"/>
      <c r="T16" s="161"/>
      <c r="U16" s="19"/>
      <c r="V16" s="15"/>
      <c r="W16" s="19"/>
      <c r="X16" s="15"/>
      <c r="Y16" s="15">
        <v>2</v>
      </c>
      <c r="Z16" s="15">
        <v>5</v>
      </c>
      <c r="AA16" s="15"/>
      <c r="AB16" s="15"/>
      <c r="AC16" s="17">
        <v>4</v>
      </c>
      <c r="AD16" s="120">
        <f t="shared" si="3"/>
        <v>104</v>
      </c>
    </row>
    <row r="17" spans="1:30" ht="13.5">
      <c r="A17" s="145" t="s">
        <v>35</v>
      </c>
      <c r="B17" s="237"/>
      <c r="C17" s="27"/>
      <c r="D17" s="154" t="s">
        <v>34</v>
      </c>
      <c r="E17" s="138">
        <v>15</v>
      </c>
      <c r="F17" s="15"/>
      <c r="G17" s="16"/>
      <c r="H17" s="16">
        <f>12.48*60</f>
        <v>748.8000000000001</v>
      </c>
      <c r="I17" s="16">
        <f>1.16*60</f>
        <v>69.6</v>
      </c>
      <c r="J17" s="15">
        <f>2*60</f>
        <v>120</v>
      </c>
      <c r="K17" s="15">
        <v>25</v>
      </c>
      <c r="L17" s="15">
        <f>10*60</f>
        <v>600</v>
      </c>
      <c r="M17" s="15">
        <v>98</v>
      </c>
      <c r="N17" s="15">
        <f>30.6*60</f>
        <v>1836</v>
      </c>
      <c r="O17" s="15">
        <f>2.17*60</f>
        <v>130.2</v>
      </c>
      <c r="P17" s="15"/>
      <c r="Q17" s="15"/>
      <c r="R17" s="15">
        <v>5</v>
      </c>
      <c r="S17" s="17"/>
      <c r="T17" s="161"/>
      <c r="U17" s="19"/>
      <c r="V17" s="15"/>
      <c r="W17" s="19"/>
      <c r="X17" s="15"/>
      <c r="Y17" s="15">
        <v>40</v>
      </c>
      <c r="Z17" s="15">
        <f>2.5*60</f>
        <v>150</v>
      </c>
      <c r="AA17" s="15"/>
      <c r="AB17" s="15"/>
      <c r="AC17" s="17">
        <v>189</v>
      </c>
      <c r="AD17" s="120">
        <f t="shared" si="3"/>
        <v>4026.6</v>
      </c>
    </row>
    <row r="18" spans="1:30" ht="13.5">
      <c r="A18" s="145">
        <v>11</v>
      </c>
      <c r="B18" s="237"/>
      <c r="C18" s="24" t="s">
        <v>27</v>
      </c>
      <c r="D18" s="154" t="s">
        <v>33</v>
      </c>
      <c r="E18" s="138"/>
      <c r="F18" s="15"/>
      <c r="G18" s="16"/>
      <c r="H18" s="16">
        <v>15</v>
      </c>
      <c r="I18" s="15"/>
      <c r="J18" s="15"/>
      <c r="K18" s="15"/>
      <c r="L18" s="15">
        <v>29</v>
      </c>
      <c r="M18" s="15">
        <v>5</v>
      </c>
      <c r="N18" s="15">
        <v>45</v>
      </c>
      <c r="O18" s="15"/>
      <c r="P18" s="15"/>
      <c r="Q18" s="15"/>
      <c r="R18" s="15"/>
      <c r="S18" s="17"/>
      <c r="T18" s="161"/>
      <c r="U18" s="19"/>
      <c r="V18" s="15">
        <v>1</v>
      </c>
      <c r="W18" s="19">
        <v>1</v>
      </c>
      <c r="X18" s="15"/>
      <c r="Y18" s="15"/>
      <c r="Z18" s="15">
        <v>4</v>
      </c>
      <c r="AA18" s="15"/>
      <c r="AB18" s="15"/>
      <c r="AC18" s="17">
        <v>1</v>
      </c>
      <c r="AD18" s="120">
        <f t="shared" si="3"/>
        <v>101</v>
      </c>
    </row>
    <row r="19" spans="1:30" ht="13.5">
      <c r="A19" s="144"/>
      <c r="B19" s="237"/>
      <c r="C19" s="27"/>
      <c r="D19" s="154" t="s">
        <v>34</v>
      </c>
      <c r="E19" s="138"/>
      <c r="F19" s="16"/>
      <c r="G19" s="16"/>
      <c r="H19" s="16">
        <f>14.24*60</f>
        <v>854.4</v>
      </c>
      <c r="I19" s="16"/>
      <c r="J19" s="15"/>
      <c r="K19" s="15"/>
      <c r="L19" s="15">
        <f>39*60</f>
        <v>2340</v>
      </c>
      <c r="M19" s="15">
        <v>2244</v>
      </c>
      <c r="N19" s="15">
        <f>61.4*60</f>
        <v>3684</v>
      </c>
      <c r="O19" s="15"/>
      <c r="P19" s="15"/>
      <c r="Q19" s="15"/>
      <c r="R19" s="15"/>
      <c r="S19" s="17"/>
      <c r="T19" s="161"/>
      <c r="U19" s="19"/>
      <c r="V19" s="15">
        <f>1.42*60</f>
        <v>85.19999999999999</v>
      </c>
      <c r="W19" s="19">
        <f>3.19*60</f>
        <v>191.4</v>
      </c>
      <c r="X19" s="15"/>
      <c r="Y19" s="15"/>
      <c r="Z19" s="15">
        <f>11.8*60</f>
        <v>708</v>
      </c>
      <c r="AA19" s="15"/>
      <c r="AB19" s="15"/>
      <c r="AC19" s="17">
        <v>121</v>
      </c>
      <c r="AD19" s="120">
        <f t="shared" si="3"/>
        <v>10228</v>
      </c>
    </row>
    <row r="20" spans="1:30" ht="13.5">
      <c r="A20" s="145">
        <v>12</v>
      </c>
      <c r="B20" s="237"/>
      <c r="C20" s="24" t="s">
        <v>28</v>
      </c>
      <c r="D20" s="154" t="s">
        <v>33</v>
      </c>
      <c r="E20" s="138">
        <v>2</v>
      </c>
      <c r="F20" s="15"/>
      <c r="G20" s="16"/>
      <c r="H20" s="16">
        <v>17</v>
      </c>
      <c r="I20" s="15"/>
      <c r="J20" s="15">
        <v>3</v>
      </c>
      <c r="K20" s="15">
        <v>1</v>
      </c>
      <c r="L20" s="15">
        <v>42</v>
      </c>
      <c r="M20" s="15">
        <v>17</v>
      </c>
      <c r="N20" s="15">
        <v>16</v>
      </c>
      <c r="O20" s="15"/>
      <c r="P20" s="15">
        <v>4</v>
      </c>
      <c r="Q20" s="15">
        <v>1</v>
      </c>
      <c r="R20" s="15">
        <v>3</v>
      </c>
      <c r="S20" s="17">
        <v>3</v>
      </c>
      <c r="T20" s="161">
        <v>9</v>
      </c>
      <c r="U20" s="19">
        <v>1</v>
      </c>
      <c r="V20" s="15">
        <v>4</v>
      </c>
      <c r="W20" s="19"/>
      <c r="X20" s="15"/>
      <c r="Y20" s="15"/>
      <c r="Z20" s="15">
        <v>2</v>
      </c>
      <c r="AA20" s="15">
        <v>1</v>
      </c>
      <c r="AB20" s="15"/>
      <c r="AC20" s="17">
        <v>4</v>
      </c>
      <c r="AD20" s="120">
        <f t="shared" si="3"/>
        <v>130</v>
      </c>
    </row>
    <row r="21" spans="1:30" ht="13.5">
      <c r="A21" s="144"/>
      <c r="B21" s="237"/>
      <c r="C21" s="27"/>
      <c r="D21" s="154" t="s">
        <v>34</v>
      </c>
      <c r="E21" s="138">
        <f>1.5*60</f>
        <v>90</v>
      </c>
      <c r="F21" s="16"/>
      <c r="G21" s="16"/>
      <c r="H21" s="16">
        <f>12.05*60</f>
        <v>723</v>
      </c>
      <c r="I21" s="16"/>
      <c r="J21" s="15">
        <f>4*60</f>
        <v>240</v>
      </c>
      <c r="K21" s="15">
        <v>40</v>
      </c>
      <c r="L21" s="15">
        <f>29*60</f>
        <v>1740</v>
      </c>
      <c r="M21" s="15">
        <v>1366</v>
      </c>
      <c r="N21" s="15">
        <f>9.3*60</f>
        <v>558</v>
      </c>
      <c r="O21" s="15"/>
      <c r="P21" s="15">
        <f>294*60</f>
        <v>17640</v>
      </c>
      <c r="Q21" s="15">
        <v>1500</v>
      </c>
      <c r="R21" s="15">
        <v>93</v>
      </c>
      <c r="S21" s="17">
        <v>98</v>
      </c>
      <c r="T21" s="161">
        <v>189</v>
      </c>
      <c r="U21" s="19">
        <v>25</v>
      </c>
      <c r="V21" s="15">
        <f>15.01*60</f>
        <v>900.6</v>
      </c>
      <c r="W21" s="19"/>
      <c r="X21" s="15"/>
      <c r="Y21" s="15"/>
      <c r="Z21" s="15">
        <v>8</v>
      </c>
      <c r="AA21" s="15">
        <f>2*49*60</f>
        <v>5880</v>
      </c>
      <c r="AB21" s="15"/>
      <c r="AC21" s="17">
        <v>332</v>
      </c>
      <c r="AD21" s="120">
        <f t="shared" si="3"/>
        <v>31422.6</v>
      </c>
    </row>
    <row r="22" spans="1:30" ht="13.5">
      <c r="A22" s="145">
        <v>13</v>
      </c>
      <c r="B22" s="237"/>
      <c r="C22" s="198" t="s">
        <v>36</v>
      </c>
      <c r="D22" s="239"/>
      <c r="E22" s="138">
        <f aca="true" t="shared" si="4" ref="E22:AD22">E14+E16+E18+E20</f>
        <v>3</v>
      </c>
      <c r="F22" s="15">
        <f t="shared" si="4"/>
        <v>0</v>
      </c>
      <c r="G22" s="15">
        <f t="shared" si="4"/>
        <v>0</v>
      </c>
      <c r="H22" s="15">
        <f t="shared" si="4"/>
        <v>46</v>
      </c>
      <c r="I22" s="15">
        <f t="shared" si="4"/>
        <v>7</v>
      </c>
      <c r="J22" s="15">
        <f t="shared" si="4"/>
        <v>4</v>
      </c>
      <c r="K22" s="15">
        <f t="shared" si="4"/>
        <v>2</v>
      </c>
      <c r="L22" s="15">
        <f t="shared" si="4"/>
        <v>92</v>
      </c>
      <c r="M22" s="15">
        <f t="shared" si="4"/>
        <v>24</v>
      </c>
      <c r="N22" s="15">
        <f t="shared" si="4"/>
        <v>101</v>
      </c>
      <c r="O22" s="15">
        <f t="shared" si="4"/>
        <v>5</v>
      </c>
      <c r="P22" s="15">
        <f t="shared" si="4"/>
        <v>4</v>
      </c>
      <c r="Q22" s="15">
        <f t="shared" si="4"/>
        <v>1</v>
      </c>
      <c r="R22" s="15">
        <f t="shared" si="4"/>
        <v>4</v>
      </c>
      <c r="S22" s="15">
        <f t="shared" si="4"/>
        <v>3</v>
      </c>
      <c r="T22" s="161">
        <f t="shared" si="4"/>
        <v>9</v>
      </c>
      <c r="U22" s="138">
        <f t="shared" si="4"/>
        <v>1</v>
      </c>
      <c r="V22" s="15">
        <f t="shared" si="4"/>
        <v>5</v>
      </c>
      <c r="W22" s="15">
        <f t="shared" si="4"/>
        <v>1</v>
      </c>
      <c r="X22" s="15">
        <f t="shared" si="4"/>
        <v>0</v>
      </c>
      <c r="Y22" s="15">
        <f t="shared" si="4"/>
        <v>2</v>
      </c>
      <c r="Z22" s="15">
        <f t="shared" si="4"/>
        <v>11</v>
      </c>
      <c r="AA22" s="15">
        <f t="shared" si="4"/>
        <v>1</v>
      </c>
      <c r="AB22" s="15">
        <f t="shared" si="4"/>
        <v>0</v>
      </c>
      <c r="AC22" s="17">
        <f t="shared" si="4"/>
        <v>9</v>
      </c>
      <c r="AD22" s="120">
        <f t="shared" si="4"/>
        <v>335</v>
      </c>
    </row>
    <row r="23" spans="1:30" ht="13.5">
      <c r="A23" s="145">
        <v>14</v>
      </c>
      <c r="B23" s="238"/>
      <c r="C23" s="198" t="s">
        <v>37</v>
      </c>
      <c r="D23" s="239"/>
      <c r="E23" s="138">
        <f>E15+E17+E19+E21</f>
        <v>105</v>
      </c>
      <c r="F23" s="15">
        <f>F15+F17+F19+F21</f>
        <v>0</v>
      </c>
      <c r="G23" s="15">
        <f>G15+G17+G19+G21</f>
        <v>0</v>
      </c>
      <c r="H23" s="15">
        <f>H15+H17+H19+H21</f>
        <v>2326.2</v>
      </c>
      <c r="I23" s="15">
        <f>I15+I17+I19+I21</f>
        <v>69.6</v>
      </c>
      <c r="J23" s="15">
        <f aca="true" t="shared" si="5" ref="J23:AD23">J15+J17+J19+J21</f>
        <v>360</v>
      </c>
      <c r="K23" s="15">
        <f t="shared" si="5"/>
        <v>65</v>
      </c>
      <c r="L23" s="15">
        <f t="shared" si="5"/>
        <v>4680</v>
      </c>
      <c r="M23" s="15">
        <f t="shared" si="5"/>
        <v>3708</v>
      </c>
      <c r="N23" s="15">
        <f t="shared" si="5"/>
        <v>6078</v>
      </c>
      <c r="O23" s="15">
        <f t="shared" si="5"/>
        <v>130.2</v>
      </c>
      <c r="P23" s="15">
        <f t="shared" si="5"/>
        <v>17640</v>
      </c>
      <c r="Q23" s="15">
        <f t="shared" si="5"/>
        <v>1500</v>
      </c>
      <c r="R23" s="15">
        <f t="shared" si="5"/>
        <v>98</v>
      </c>
      <c r="S23" s="15">
        <f t="shared" si="5"/>
        <v>98</v>
      </c>
      <c r="T23" s="161">
        <f t="shared" si="5"/>
        <v>189</v>
      </c>
      <c r="U23" s="138">
        <f t="shared" si="5"/>
        <v>25</v>
      </c>
      <c r="V23" s="15">
        <f t="shared" si="5"/>
        <v>985.8</v>
      </c>
      <c r="W23" s="15">
        <f t="shared" si="5"/>
        <v>191.4</v>
      </c>
      <c r="X23" s="15">
        <f t="shared" si="5"/>
        <v>0</v>
      </c>
      <c r="Y23" s="15">
        <f t="shared" si="5"/>
        <v>40</v>
      </c>
      <c r="Z23" s="15">
        <f t="shared" si="5"/>
        <v>866</v>
      </c>
      <c r="AA23" s="15">
        <f t="shared" si="5"/>
        <v>5880</v>
      </c>
      <c r="AB23" s="15">
        <f t="shared" si="5"/>
        <v>0</v>
      </c>
      <c r="AC23" s="17">
        <f t="shared" si="5"/>
        <v>642</v>
      </c>
      <c r="AD23" s="120">
        <f t="shared" si="5"/>
        <v>45677.2</v>
      </c>
    </row>
    <row r="24" spans="1:30" ht="13.5">
      <c r="A24" s="145">
        <v>16</v>
      </c>
      <c r="B24" s="240" t="s">
        <v>39</v>
      </c>
      <c r="C24" s="200"/>
      <c r="D24" s="239"/>
      <c r="E24" s="138">
        <f aca="true" t="shared" si="6" ref="E24:AD24">E7-E12</f>
        <v>12</v>
      </c>
      <c r="F24" s="15">
        <f t="shared" si="6"/>
        <v>0</v>
      </c>
      <c r="G24" s="15">
        <f t="shared" si="6"/>
        <v>0</v>
      </c>
      <c r="H24" s="15">
        <f t="shared" si="6"/>
        <v>268</v>
      </c>
      <c r="I24" s="15">
        <f t="shared" si="6"/>
        <v>30</v>
      </c>
      <c r="J24" s="15">
        <f t="shared" si="6"/>
        <v>13</v>
      </c>
      <c r="K24" s="15">
        <f t="shared" si="6"/>
        <v>13</v>
      </c>
      <c r="L24" s="15">
        <f t="shared" si="6"/>
        <v>270</v>
      </c>
      <c r="M24" s="15">
        <f t="shared" si="6"/>
        <v>120</v>
      </c>
      <c r="N24" s="15">
        <f t="shared" si="6"/>
        <v>908</v>
      </c>
      <c r="O24" s="15">
        <f t="shared" si="6"/>
        <v>75</v>
      </c>
      <c r="P24" s="15">
        <f t="shared" si="6"/>
        <v>210</v>
      </c>
      <c r="Q24" s="15">
        <f t="shared" si="6"/>
        <v>5</v>
      </c>
      <c r="R24" s="15">
        <f t="shared" si="6"/>
        <v>29</v>
      </c>
      <c r="S24" s="15">
        <f t="shared" si="6"/>
        <v>8</v>
      </c>
      <c r="T24" s="161">
        <f t="shared" si="6"/>
        <v>30</v>
      </c>
      <c r="U24" s="138">
        <f t="shared" si="6"/>
        <v>30</v>
      </c>
      <c r="V24" s="15">
        <f t="shared" si="6"/>
        <v>26</v>
      </c>
      <c r="W24" s="15">
        <f t="shared" si="6"/>
        <v>30</v>
      </c>
      <c r="X24" s="15">
        <f t="shared" si="6"/>
        <v>0</v>
      </c>
      <c r="Y24" s="15">
        <f t="shared" si="6"/>
        <v>50</v>
      </c>
      <c r="Z24" s="15">
        <f t="shared" si="6"/>
        <v>107</v>
      </c>
      <c r="AA24" s="15">
        <f t="shared" si="6"/>
        <v>30</v>
      </c>
      <c r="AB24" s="15">
        <f t="shared" si="6"/>
        <v>12</v>
      </c>
      <c r="AC24" s="17">
        <f t="shared" si="6"/>
        <v>30</v>
      </c>
      <c r="AD24" s="120">
        <f t="shared" si="6"/>
        <v>2306</v>
      </c>
    </row>
    <row r="25" spans="1:30" ht="14.25" thickBot="1">
      <c r="A25" s="152">
        <v>17</v>
      </c>
      <c r="B25" s="232" t="s">
        <v>40</v>
      </c>
      <c r="C25" s="216"/>
      <c r="D25" s="233"/>
      <c r="E25" s="156">
        <f aca="true" t="shared" si="7" ref="E25:AD25">E24-E22-E13</f>
        <v>9</v>
      </c>
      <c r="F25" s="85">
        <f t="shared" si="7"/>
        <v>0</v>
      </c>
      <c r="G25" s="85">
        <f t="shared" si="7"/>
        <v>0</v>
      </c>
      <c r="H25" s="85">
        <f t="shared" si="7"/>
        <v>220</v>
      </c>
      <c r="I25" s="85">
        <f t="shared" si="7"/>
        <v>23</v>
      </c>
      <c r="J25" s="85">
        <f t="shared" si="7"/>
        <v>9</v>
      </c>
      <c r="K25" s="85">
        <f t="shared" si="7"/>
        <v>11</v>
      </c>
      <c r="L25" s="85">
        <f t="shared" si="7"/>
        <v>178</v>
      </c>
      <c r="M25" s="85">
        <f t="shared" si="7"/>
        <v>96</v>
      </c>
      <c r="N25" s="85">
        <f t="shared" si="7"/>
        <v>806</v>
      </c>
      <c r="O25" s="85">
        <f t="shared" si="7"/>
        <v>70</v>
      </c>
      <c r="P25" s="85">
        <f t="shared" si="7"/>
        <v>206</v>
      </c>
      <c r="Q25" s="85">
        <f t="shared" si="7"/>
        <v>4</v>
      </c>
      <c r="R25" s="85">
        <f t="shared" si="7"/>
        <v>22</v>
      </c>
      <c r="S25" s="85">
        <f t="shared" si="7"/>
        <v>5</v>
      </c>
      <c r="T25" s="164">
        <f t="shared" si="7"/>
        <v>21</v>
      </c>
      <c r="U25" s="156">
        <f t="shared" si="7"/>
        <v>29</v>
      </c>
      <c r="V25" s="85">
        <f t="shared" si="7"/>
        <v>21</v>
      </c>
      <c r="W25" s="85">
        <f t="shared" si="7"/>
        <v>29</v>
      </c>
      <c r="X25" s="85">
        <f t="shared" si="7"/>
        <v>0</v>
      </c>
      <c r="Y25" s="85">
        <f t="shared" si="7"/>
        <v>47</v>
      </c>
      <c r="Z25" s="85">
        <f t="shared" si="7"/>
        <v>96</v>
      </c>
      <c r="AA25" s="85">
        <f t="shared" si="7"/>
        <v>29</v>
      </c>
      <c r="AB25" s="85">
        <f t="shared" si="7"/>
        <v>12</v>
      </c>
      <c r="AC25" s="112">
        <f t="shared" si="7"/>
        <v>21</v>
      </c>
      <c r="AD25" s="122">
        <f t="shared" si="7"/>
        <v>1964</v>
      </c>
    </row>
    <row r="26" spans="1:30" ht="14.25" thickBot="1">
      <c r="A26" s="157">
        <v>18</v>
      </c>
      <c r="B26" s="234" t="s">
        <v>41</v>
      </c>
      <c r="C26" s="218"/>
      <c r="D26" s="235"/>
      <c r="E26" s="158">
        <f aca="true" t="shared" si="8" ref="E26:AD26">IF(E24=0,0,(E25+E16)/E24)</f>
        <v>0.8333333333333334</v>
      </c>
      <c r="F26" s="94">
        <f t="shared" si="8"/>
        <v>0</v>
      </c>
      <c r="G26" s="94">
        <f t="shared" si="8"/>
        <v>0</v>
      </c>
      <c r="H26" s="94">
        <f t="shared" si="8"/>
        <v>0.8731343283582089</v>
      </c>
      <c r="I26" s="94">
        <f t="shared" si="8"/>
        <v>1</v>
      </c>
      <c r="J26" s="94">
        <f t="shared" si="8"/>
        <v>0.7692307692307693</v>
      </c>
      <c r="K26" s="94">
        <f t="shared" si="8"/>
        <v>0.9230769230769231</v>
      </c>
      <c r="L26" s="94">
        <f t="shared" si="8"/>
        <v>0.737037037037037</v>
      </c>
      <c r="M26" s="94">
        <f t="shared" si="8"/>
        <v>0.8166666666666667</v>
      </c>
      <c r="N26" s="94">
        <f t="shared" si="8"/>
        <v>0.9317180616740088</v>
      </c>
      <c r="O26" s="94">
        <f t="shared" si="8"/>
        <v>1</v>
      </c>
      <c r="P26" s="94">
        <f t="shared" si="8"/>
        <v>0.9809523809523809</v>
      </c>
      <c r="Q26" s="94">
        <f t="shared" si="8"/>
        <v>0.8</v>
      </c>
      <c r="R26" s="94">
        <f t="shared" si="8"/>
        <v>0.7931034482758621</v>
      </c>
      <c r="S26" s="94">
        <f t="shared" si="8"/>
        <v>0.625</v>
      </c>
      <c r="T26" s="94">
        <f t="shared" si="8"/>
        <v>0.7</v>
      </c>
      <c r="U26" s="94">
        <f t="shared" si="8"/>
        <v>0.9666666666666667</v>
      </c>
      <c r="V26" s="94">
        <f t="shared" si="8"/>
        <v>0.8076923076923077</v>
      </c>
      <c r="W26" s="94">
        <f t="shared" si="8"/>
        <v>0.9666666666666667</v>
      </c>
      <c r="X26" s="94">
        <f t="shared" si="8"/>
        <v>0</v>
      </c>
      <c r="Y26" s="94">
        <f t="shared" si="8"/>
        <v>0.98</v>
      </c>
      <c r="Z26" s="94">
        <f t="shared" si="8"/>
        <v>0.9439252336448598</v>
      </c>
      <c r="AA26" s="94">
        <f t="shared" si="8"/>
        <v>0.9666666666666667</v>
      </c>
      <c r="AB26" s="94">
        <f t="shared" si="8"/>
        <v>1</v>
      </c>
      <c r="AC26" s="114">
        <f t="shared" si="8"/>
        <v>0.8333333333333334</v>
      </c>
      <c r="AD26" s="115">
        <f t="shared" si="8"/>
        <v>0.8967909800520382</v>
      </c>
    </row>
    <row r="27" spans="1:30" ht="14.25" thickBot="1">
      <c r="A27" s="157">
        <v>19</v>
      </c>
      <c r="B27" s="234" t="s">
        <v>42</v>
      </c>
      <c r="C27" s="218"/>
      <c r="D27" s="235"/>
      <c r="E27" s="165">
        <f aca="true" t="shared" si="9" ref="E27:AD27">+E23/E22</f>
        <v>35</v>
      </c>
      <c r="F27" s="166" t="e">
        <f t="shared" si="9"/>
        <v>#DIV/0!</v>
      </c>
      <c r="G27" s="166" t="e">
        <f t="shared" si="9"/>
        <v>#DIV/0!</v>
      </c>
      <c r="H27" s="166">
        <f t="shared" si="9"/>
        <v>50.5695652173913</v>
      </c>
      <c r="I27" s="166">
        <f t="shared" si="9"/>
        <v>9.942857142857141</v>
      </c>
      <c r="J27" s="166">
        <f t="shared" si="9"/>
        <v>90</v>
      </c>
      <c r="K27" s="166">
        <f t="shared" si="9"/>
        <v>32.5</v>
      </c>
      <c r="L27" s="166">
        <f t="shared" si="9"/>
        <v>50.869565217391305</v>
      </c>
      <c r="M27" s="166">
        <f t="shared" si="9"/>
        <v>154.5</v>
      </c>
      <c r="N27" s="166">
        <f t="shared" si="9"/>
        <v>60.17821782178218</v>
      </c>
      <c r="O27" s="166">
        <f t="shared" si="9"/>
        <v>26.04</v>
      </c>
      <c r="P27" s="166">
        <f t="shared" si="9"/>
        <v>4410</v>
      </c>
      <c r="Q27" s="166">
        <f t="shared" si="9"/>
        <v>1500</v>
      </c>
      <c r="R27" s="166">
        <f t="shared" si="9"/>
        <v>24.5</v>
      </c>
      <c r="S27" s="166">
        <f t="shared" si="9"/>
        <v>32.666666666666664</v>
      </c>
      <c r="T27" s="166">
        <f t="shared" si="9"/>
        <v>21</v>
      </c>
      <c r="U27" s="166">
        <f t="shared" si="9"/>
        <v>25</v>
      </c>
      <c r="V27" s="166">
        <f t="shared" si="9"/>
        <v>197.16</v>
      </c>
      <c r="W27" s="166">
        <f t="shared" si="9"/>
        <v>191.4</v>
      </c>
      <c r="X27" s="166" t="e">
        <f t="shared" si="9"/>
        <v>#DIV/0!</v>
      </c>
      <c r="Y27" s="166">
        <f t="shared" si="9"/>
        <v>20</v>
      </c>
      <c r="Z27" s="166">
        <f t="shared" si="9"/>
        <v>78.72727272727273</v>
      </c>
      <c r="AA27" s="166">
        <f t="shared" si="9"/>
        <v>5880</v>
      </c>
      <c r="AB27" s="166" t="e">
        <f t="shared" si="9"/>
        <v>#DIV/0!</v>
      </c>
      <c r="AC27" s="167">
        <f t="shared" si="9"/>
        <v>71.33333333333333</v>
      </c>
      <c r="AD27" s="104">
        <f t="shared" si="9"/>
        <v>136.34985074626866</v>
      </c>
    </row>
  </sheetData>
  <mergeCells count="21">
    <mergeCell ref="A1:AD1"/>
    <mergeCell ref="A2:AD2"/>
    <mergeCell ref="A3:AD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U.A.E 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Internacional</dc:title>
  <dc:subject/>
  <dc:creator>4242800</dc:creator>
  <cp:keywords/>
  <dc:description/>
  <cp:lastModifiedBy>4242800</cp:lastModifiedBy>
  <cp:lastPrinted>2008-02-06T14:11:25Z</cp:lastPrinted>
  <dcterms:created xsi:type="dcterms:W3CDTF">2007-05-22T21:19:50Z</dcterms:created>
  <dcterms:modified xsi:type="dcterms:W3CDTF">2008-07-30T13:06:57Z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AEVVZYF6TF2M-623-72</vt:lpwstr>
  </property>
  <property fmtid="{D5CDD505-2E9C-101B-9397-08002B2CF9AE}" pid="4" name="_dlc_DocIdItemGu">
    <vt:lpwstr>4fbef00b-6949-45d2-b032-0f2d7e2332c6</vt:lpwstr>
  </property>
  <property fmtid="{D5CDD505-2E9C-101B-9397-08002B2CF9AE}" pid="5" name="_dlc_DocIdU">
    <vt:lpwstr>http://bog127/AAeronautica/Estadisticas/TAereo/_layouts/DocIdRedir.aspx?ID=AEVVZYF6TF2M-623-72, AEVVZYF6TF2M-623-72</vt:lpwstr>
  </property>
  <property fmtid="{D5CDD505-2E9C-101B-9397-08002B2CF9AE}" pid="6" name="Cla">
    <vt:lpwstr>CALIDAD 2007</vt:lpwstr>
  </property>
  <property fmtid="{D5CDD505-2E9C-101B-9397-08002B2CF9AE}" pid="7" name="Secci">
    <vt:lpwstr>Calidad del Servicio</vt:lpwstr>
  </property>
  <property fmtid="{D5CDD505-2E9C-101B-9397-08002B2CF9AE}" pid="8" name="Ord">
    <vt:lpwstr>01</vt:lpwstr>
  </property>
  <property fmtid="{D5CDD505-2E9C-101B-9397-08002B2CF9AE}" pid="9" name="Forma">
    <vt:lpwstr>/Style%20Library/Images/xls.svg</vt:lpwstr>
  </property>
  <property fmtid="{D5CDD505-2E9C-101B-9397-08002B2CF9AE}" pid="10" name="Filt">
    <vt:lpwstr>CALIDAD 2007</vt:lpwstr>
  </property>
</Properties>
</file>